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dányi Attila\Documents\Saját\ÉDV ZRt\Honlap\Infok\"/>
    </mc:Choice>
  </mc:AlternateContent>
  <bookViews>
    <workbookView xWindow="0" yWindow="0" windowWidth="21570" windowHeight="7455" activeTab="3"/>
  </bookViews>
  <sheets>
    <sheet name="mellékletek-2020" sheetId="1" r:id="rId1"/>
    <sheet name="1. jogszabályok" sheetId="2" r:id="rId2"/>
    <sheet name="2. ivóvíz- és csatornadíjak" sheetId="98" r:id="rId3"/>
    <sheet name="2.1. önkormányzati díjak" sheetId="99" r:id="rId4"/>
    <sheet name="3. rezsióradíj mérnökóradíj" sheetId="5" r:id="rId5"/>
    <sheet name="3-1. műveleti idők" sheetId="45" r:id="rId6"/>
    <sheet name="4. kiszállás díja" sheetId="7" r:id="rId7"/>
    <sheet name="5. ellenőrző olvasás" sheetId="8" r:id="rId8"/>
    <sheet name="6. plombálás " sheetId="63" r:id="rId9"/>
    <sheet name="6-1. újraplombálás" sheetId="64" r:id="rId10"/>
    <sheet name="7. mellékmérők beszerelése" sheetId="65" r:id="rId11"/>
    <sheet name="8. soros mellékmérő többlakásos" sheetId="66" r:id="rId12"/>
    <sheet name="8.1. soros mellékmérő családi" sheetId="75" r:id="rId13"/>
    <sheet name="9. nem soros mellékmérő" sheetId="69" r:id="rId14"/>
    <sheet name="10. mérőbeépítés" sheetId="94" r:id="rId15"/>
    <sheet name="11. vízbekötések" sheetId="76" r:id="rId16"/>
    <sheet name="Munka1" sheetId="96" r:id="rId17"/>
    <sheet name="12. vízbekötés megszüntetés" sheetId="93" r:id="rId18"/>
    <sheet name="13. elfagyott vízmérő" sheetId="60" r:id="rId19"/>
    <sheet name="13.1 kivetett kötbér" sheetId="44" r:id="rId20"/>
    <sheet name="14. vízszolg. szüneteltetés" sheetId="77" r:id="rId21"/>
    <sheet name="14.1 szennyvízszolg szüneteltet" sheetId="86" r:id="rId22"/>
    <sheet name="15. ellenőrzés" sheetId="78" r:id="rId23"/>
    <sheet name="16. csatornatisztítás" sheetId="21" r:id="rId24"/>
    <sheet name="17. szv. és foly. hull. fogadás" sheetId="22" r:id="rId25"/>
    <sheet name="17-1. Egyéb hulladék fogadás" sheetId="42" r:id="rId26"/>
    <sheet name="18. szennyvíziszap fogadás" sheetId="23" r:id="rId27"/>
    <sheet name="19. laborvizsgálat" sheetId="36" r:id="rId28"/>
    <sheet name="20. Bérleti díjak" sheetId="18" r:id="rId29"/>
    <sheet name="21. üdülők" sheetId="80" r:id="rId30"/>
    <sheet name="22. munkaruha" sheetId="95" r:id="rId31"/>
    <sheet name="23. szakfelügyelet díja" sheetId="79" r:id="rId32"/>
    <sheet name="24. csatornabekötés" sheetId="83" r:id="rId33"/>
    <sheet name="25. adatszolgáltatás" sheetId="31" r:id="rId34"/>
    <sheet name="26. egyéb nyilatkozat" sheetId="32" r:id="rId35"/>
    <sheet name="27. közműfejlesztés" sheetId="33" r:id="rId36"/>
    <sheet name="28. tervtár" sheetId="34" r:id="rId37"/>
    <sheet name="29. sokszorosítás" sheetId="82" r:id="rId38"/>
    <sheet name="30. szivattyú javítás" sheetId="46" r:id="rId39"/>
    <sheet name="31. kártalanítás" sheetId="88" r:id="rId40"/>
    <sheet name="32. geodéziai bemérés" sheetId="92" r:id="rId41"/>
    <sheet name="33. Kártérítési díj" sheetId="97" r:id="rId42"/>
  </sheets>
  <externalReferences>
    <externalReference r:id="rId43"/>
    <externalReference r:id="rId44"/>
    <externalReference r:id="rId45"/>
  </externalReferences>
  <definedNames>
    <definedName name="h" localSheetId="14">#REF!</definedName>
    <definedName name="h" localSheetId="15">#REF!</definedName>
    <definedName name="h" localSheetId="17">#REF!</definedName>
    <definedName name="h" localSheetId="18">#REF!</definedName>
    <definedName name="h" localSheetId="19">#REF!</definedName>
    <definedName name="h" localSheetId="20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">#REF!</definedName>
    <definedName name="h" localSheetId="3">#REF!</definedName>
    <definedName name="h" localSheetId="28">#REF!</definedName>
    <definedName name="h" localSheetId="31">#REF!</definedName>
    <definedName name="h" localSheetId="33">#REF!</definedName>
    <definedName name="h" localSheetId="34">#REF!</definedName>
    <definedName name="h" localSheetId="35">#REF!</definedName>
    <definedName name="h" localSheetId="36">#REF!</definedName>
    <definedName name="h" localSheetId="4">#REF!</definedName>
    <definedName name="h" localSheetId="38">#REF!</definedName>
    <definedName name="h" localSheetId="40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0">#REF!</definedName>
    <definedName name="h">#REF!</definedName>
    <definedName name="_xlnm.Print_Titles" localSheetId="27">'19. laborvizsgálat'!$6:$6</definedName>
    <definedName name="_xlnm.Print_Area" localSheetId="18">'13. elfagyott vízmérő'!$A$1:$C$16</definedName>
    <definedName name="_xlnm.Print_Area" localSheetId="20">'14. vízszolg. szüneteltetés'!$A$20:$D$41</definedName>
    <definedName name="_xlnm.Print_Area" localSheetId="22">'15. ellenőrzés'!$A$1:$K$99</definedName>
    <definedName name="_xlnm.Print_Area" localSheetId="2">'2. ivóvíz- és csatornadíjak'!$A$1:$E$69</definedName>
    <definedName name="_xlnm.Print_Area" localSheetId="8">'6. plombálás '!$A$1:$F$13</definedName>
    <definedName name="_xlnm.Print_Area" localSheetId="10">'7. mellékmérők beszerelése'!$A$1:$D$16</definedName>
    <definedName name="_xlnm.Print_Area" localSheetId="11">'8. soros mellékmérő többlakásos'!$A$1:$D$29</definedName>
    <definedName name="_xlnm.Print_Area" localSheetId="12">'8.1. soros mellékmérő családi'!$A$1:$J$17</definedName>
    <definedName name="_xlnm.Print_Area" localSheetId="13">'9. nem soros mellékmérő'!$A$1:$D$19</definedName>
    <definedName name="_xlnm.Print_Area" localSheetId="0">'mellékletek-2020'!$C$1:$D$37</definedName>
  </definedNames>
  <calcPr calcId="162913"/>
</workbook>
</file>

<file path=xl/calcChain.xml><?xml version="1.0" encoding="utf-8"?>
<calcChain xmlns="http://schemas.openxmlformats.org/spreadsheetml/2006/main">
  <c r="D44" i="99" l="1"/>
  <c r="D49" i="99"/>
  <c r="D50" i="99"/>
  <c r="D51" i="99"/>
  <c r="D55" i="99"/>
  <c r="B58" i="99"/>
  <c r="D65" i="99"/>
  <c r="B66" i="99"/>
  <c r="B76" i="99"/>
  <c r="C76" i="99"/>
  <c r="B77" i="99"/>
  <c r="B82" i="99"/>
  <c r="C82" i="99"/>
  <c r="B85" i="99"/>
  <c r="C85" i="99"/>
  <c r="D86" i="99"/>
  <c r="D87" i="99"/>
  <c r="B88" i="99"/>
  <c r="C88" i="99"/>
  <c r="B92" i="99"/>
  <c r="C92" i="99"/>
  <c r="D94" i="99"/>
  <c r="B95" i="99"/>
  <c r="C95" i="99"/>
  <c r="D97" i="99"/>
  <c r="B98" i="99"/>
  <c r="C98" i="99"/>
  <c r="B101" i="99"/>
  <c r="C101" i="99"/>
  <c r="B107" i="99"/>
  <c r="C107" i="99"/>
  <c r="B111" i="99"/>
  <c r="B113" i="99"/>
  <c r="B115" i="99"/>
  <c r="H6" i="65" l="1"/>
  <c r="H7" i="65"/>
  <c r="H8" i="65"/>
  <c r="C106" i="76" l="1"/>
  <c r="C108" i="76"/>
  <c r="B8" i="75" l="1"/>
  <c r="C21" i="22" l="1"/>
  <c r="C22" i="22" s="1"/>
  <c r="B6" i="63" l="1"/>
  <c r="H21" i="66" l="1"/>
  <c r="H20" i="66"/>
  <c r="B21" i="66" s="1"/>
  <c r="B10" i="94"/>
  <c r="B9" i="94"/>
  <c r="B12" i="94" s="1"/>
  <c r="B27" i="93"/>
  <c r="B26" i="93"/>
  <c r="B25" i="93"/>
  <c r="B30" i="93" s="1"/>
  <c r="B24" i="93"/>
  <c r="B13" i="93"/>
  <c r="B12" i="93"/>
  <c r="B11" i="93"/>
  <c r="B10" i="93"/>
  <c r="C9" i="23"/>
  <c r="C10" i="23"/>
  <c r="B9" i="86"/>
  <c r="B6" i="86"/>
  <c r="C4" i="5"/>
  <c r="D4" i="5" s="1"/>
  <c r="C5" i="5"/>
  <c r="D5" i="5" s="1"/>
  <c r="C33" i="22"/>
  <c r="C34" i="22"/>
  <c r="C22" i="42"/>
  <c r="C23" i="42"/>
  <c r="C23" i="23"/>
  <c r="C24" i="23"/>
  <c r="C10" i="42"/>
  <c r="C9" i="42"/>
  <c r="C16" i="22"/>
  <c r="C15" i="22"/>
  <c r="C8" i="82"/>
  <c r="C9" i="82" s="1"/>
  <c r="B8" i="82"/>
  <c r="B9" i="82" s="1"/>
  <c r="C16" i="23"/>
  <c r="C17" i="23"/>
  <c r="M5" i="45"/>
  <c r="M6" i="45"/>
  <c r="M7" i="45"/>
  <c r="M8" i="45"/>
  <c r="M9" i="45"/>
  <c r="M10" i="45"/>
  <c r="M11" i="45"/>
  <c r="M12" i="45"/>
  <c r="M13" i="45"/>
  <c r="M14" i="45"/>
  <c r="M15" i="45"/>
  <c r="M16" i="45"/>
  <c r="M17" i="45"/>
  <c r="M4" i="45"/>
  <c r="J12" i="45"/>
  <c r="J5" i="45"/>
  <c r="J6" i="45"/>
  <c r="J7" i="45"/>
  <c r="J8" i="45"/>
  <c r="J10" i="45"/>
  <c r="J11" i="45"/>
  <c r="J13" i="45"/>
  <c r="J14" i="45"/>
  <c r="J15" i="45"/>
  <c r="J16" i="45"/>
  <c r="J4" i="45"/>
  <c r="G5" i="45"/>
  <c r="G6" i="45"/>
  <c r="G7" i="45"/>
  <c r="G9" i="45"/>
  <c r="G10" i="45"/>
  <c r="G11" i="45"/>
  <c r="G12" i="45"/>
  <c r="G13" i="45"/>
  <c r="G14" i="45"/>
  <c r="G15" i="45"/>
  <c r="G16" i="45"/>
  <c r="G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4" i="45"/>
  <c r="D82" i="78"/>
  <c r="D81" i="78"/>
  <c r="D74" i="78"/>
  <c r="D73" i="78"/>
  <c r="K20" i="78" s="1"/>
  <c r="D72" i="78"/>
  <c r="E20" i="78" s="1"/>
  <c r="I74" i="78"/>
  <c r="K22" i="78" s="1"/>
  <c r="I73" i="78"/>
  <c r="J22" i="78" s="1"/>
  <c r="I72" i="78"/>
  <c r="I22" i="78" s="1"/>
  <c r="I71" i="78"/>
  <c r="H22" i="78" s="1"/>
  <c r="I70" i="78"/>
  <c r="G22" i="78" s="1"/>
  <c r="I59" i="78"/>
  <c r="I58" i="78"/>
  <c r="I57" i="78"/>
  <c r="I56" i="78"/>
  <c r="I55" i="78"/>
  <c r="I54" i="78"/>
  <c r="F22" i="78" s="1"/>
  <c r="I53" i="78"/>
  <c r="E22" i="78" s="1"/>
  <c r="I52" i="78"/>
  <c r="I51" i="78"/>
  <c r="C22" i="78" s="1"/>
  <c r="I50" i="78"/>
  <c r="B22" i="78" s="1"/>
  <c r="E37" i="78"/>
  <c r="D37" i="78"/>
  <c r="C37" i="78"/>
  <c r="B37" i="78"/>
  <c r="F35" i="78"/>
  <c r="E35" i="78"/>
  <c r="D35" i="78"/>
  <c r="C35" i="78"/>
  <c r="B35" i="78"/>
  <c r="D22" i="78"/>
  <c r="F21" i="78"/>
  <c r="E21" i="78"/>
  <c r="D21" i="78"/>
  <c r="C21" i="78"/>
  <c r="B21" i="78"/>
  <c r="H20" i="78"/>
  <c r="D33" i="77"/>
  <c r="B33" i="77"/>
  <c r="D10" i="77"/>
  <c r="B10" i="77"/>
  <c r="C73" i="76"/>
  <c r="J8" i="75"/>
  <c r="I8" i="75"/>
  <c r="H8" i="75"/>
  <c r="G8" i="75"/>
  <c r="F8" i="75"/>
  <c r="E8" i="75"/>
  <c r="D8" i="75"/>
  <c r="C8" i="75"/>
  <c r="F7" i="75"/>
  <c r="F6" i="63"/>
  <c r="E6" i="63"/>
  <c r="D6" i="63"/>
  <c r="C6" i="63"/>
  <c r="H8" i="69"/>
  <c r="D9" i="69" s="1"/>
  <c r="H7" i="69"/>
  <c r="C9" i="69" s="1"/>
  <c r="H6" i="69"/>
  <c r="B9" i="69" s="1"/>
  <c r="C21" i="66"/>
  <c r="H8" i="66"/>
  <c r="D7" i="66" s="1"/>
  <c r="H7" i="66"/>
  <c r="C7" i="66" s="1"/>
  <c r="H6" i="66"/>
  <c r="B7" i="66" s="1"/>
  <c r="C6" i="66"/>
  <c r="B6" i="66"/>
  <c r="D7" i="65"/>
  <c r="C7" i="65"/>
  <c r="B7" i="65"/>
  <c r="G6" i="60"/>
  <c r="C9" i="60" s="1"/>
  <c r="H5" i="60"/>
  <c r="C8" i="60" s="1"/>
  <c r="G5" i="60"/>
  <c r="B9" i="60" s="1"/>
  <c r="B8" i="60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" i="1"/>
  <c r="C1" i="1"/>
  <c r="B27" i="33"/>
  <c r="B21" i="33"/>
  <c r="B5" i="83" l="1"/>
  <c r="B8" i="65"/>
  <c r="C90" i="76"/>
  <c r="B8" i="64"/>
  <c r="B7" i="63"/>
  <c r="C7" i="63" s="1"/>
  <c r="B6" i="8"/>
  <c r="C75" i="76"/>
  <c r="B8" i="66"/>
  <c r="B10" i="69"/>
  <c r="B7" i="78"/>
  <c r="B10" i="60"/>
  <c r="C10" i="60" s="1"/>
  <c r="B11" i="77"/>
  <c r="D11" i="77" s="1"/>
  <c r="B33" i="78"/>
  <c r="B23" i="66"/>
  <c r="C23" i="66" s="1"/>
  <c r="G9" i="75"/>
  <c r="B34" i="77"/>
  <c r="D34" i="77" s="1"/>
  <c r="B7" i="86"/>
  <c r="B34" i="66"/>
  <c r="C34" i="66" s="1"/>
  <c r="B34" i="78"/>
  <c r="D34" i="78" s="1"/>
  <c r="E9" i="75"/>
  <c r="F9" i="75" s="1"/>
  <c r="C10" i="7"/>
  <c r="C120" i="76" s="1"/>
  <c r="C121" i="76" s="1"/>
  <c r="B19" i="78"/>
  <c r="C19" i="78" s="1"/>
  <c r="B9" i="75"/>
  <c r="C9" i="75" s="1"/>
  <c r="D9" i="75" s="1"/>
  <c r="B22" i="66"/>
  <c r="C22" i="66" s="1"/>
  <c r="B8" i="86"/>
  <c r="B13" i="86" s="1"/>
  <c r="B20" i="78"/>
  <c r="G20" i="78"/>
  <c r="F20" i="78"/>
  <c r="D20" i="78"/>
  <c r="C20" i="78"/>
  <c r="B16" i="93"/>
  <c r="B29" i="93"/>
  <c r="B31" i="93" s="1"/>
  <c r="B32" i="93" s="1"/>
  <c r="B33" i="93" s="1"/>
  <c r="B15" i="93"/>
  <c r="D19" i="78"/>
  <c r="C48" i="78" s="1"/>
  <c r="F19" i="78"/>
  <c r="G19" i="78"/>
  <c r="I19" i="78"/>
  <c r="J19" i="78"/>
  <c r="B48" i="78"/>
  <c r="K19" i="78"/>
  <c r="F33" i="78"/>
  <c r="I20" i="78"/>
  <c r="J20" i="78"/>
  <c r="D33" i="78"/>
  <c r="E33" i="78"/>
  <c r="H19" i="78"/>
  <c r="C33" i="78"/>
  <c r="B12" i="86"/>
  <c r="B14" i="86" s="1"/>
  <c r="B8" i="78"/>
  <c r="B9" i="78" s="1"/>
  <c r="B11" i="92"/>
  <c r="C59" i="76"/>
  <c r="C34" i="78" l="1"/>
  <c r="E34" i="78"/>
  <c r="F34" i="78"/>
  <c r="E19" i="78"/>
  <c r="B17" i="93"/>
  <c r="B18" i="93" s="1"/>
  <c r="B19" i="93" s="1"/>
  <c r="H9" i="75"/>
  <c r="I9" i="75"/>
  <c r="J9" i="75"/>
  <c r="B12" i="77"/>
  <c r="D12" i="77" s="1"/>
  <c r="D13" i="77" s="1"/>
  <c r="C109" i="76"/>
  <c r="C110" i="76" s="1"/>
  <c r="B9" i="65"/>
  <c r="B8" i="63"/>
  <c r="B11" i="69"/>
  <c r="C11" i="69" s="1"/>
  <c r="D11" i="69" s="1"/>
  <c r="B38" i="78"/>
  <c r="B23" i="78"/>
  <c r="B6" i="83"/>
  <c r="B7" i="83" s="1"/>
  <c r="B50" i="78"/>
  <c r="C50" i="78" s="1"/>
  <c r="D51" i="78" s="1"/>
  <c r="D52" i="78" s="1"/>
  <c r="D53" i="78" s="1"/>
  <c r="B9" i="66"/>
  <c r="B10" i="66" s="1"/>
  <c r="B11" i="60"/>
  <c r="C76" i="76"/>
  <c r="C60" i="76"/>
  <c r="C62" i="76" s="1"/>
  <c r="B35" i="77"/>
  <c r="B7" i="8"/>
  <c r="B8" i="8" s="1"/>
  <c r="B9" i="8" s="1"/>
  <c r="B10" i="8" s="1"/>
  <c r="B11" i="8" s="1"/>
  <c r="B12" i="8" s="1"/>
  <c r="B10" i="75"/>
  <c r="B7" i="64"/>
  <c r="B9" i="64" s="1"/>
  <c r="B10" i="64" s="1"/>
  <c r="B11" i="64" s="1"/>
  <c r="B24" i="66"/>
  <c r="C91" i="76"/>
  <c r="C92" i="76" s="1"/>
  <c r="B35" i="66"/>
  <c r="C11" i="7"/>
  <c r="C12" i="7" s="1"/>
  <c r="C13" i="7" s="1"/>
  <c r="C14" i="7" s="1"/>
  <c r="C122" i="76"/>
  <c r="B10" i="78"/>
  <c r="B11" i="78" s="1"/>
  <c r="B12" i="92"/>
  <c r="B13" i="92" s="1"/>
  <c r="C8" i="65"/>
  <c r="B10" i="65"/>
  <c r="D8" i="65"/>
  <c r="B15" i="86"/>
  <c r="B16" i="86" s="1"/>
  <c r="C10" i="69"/>
  <c r="D7" i="63"/>
  <c r="C8" i="66"/>
  <c r="D8" i="66"/>
  <c r="B8" i="83" l="1"/>
  <c r="B9" i="83" s="1"/>
  <c r="B10" i="83" s="1"/>
  <c r="B11" i="83" s="1"/>
  <c r="B12" i="69"/>
  <c r="B13" i="69"/>
  <c r="B11" i="66"/>
  <c r="B51" i="78"/>
  <c r="B52" i="78" s="1"/>
  <c r="B53" i="78" s="1"/>
  <c r="C24" i="66"/>
  <c r="B26" i="66"/>
  <c r="B37" i="77"/>
  <c r="D35" i="77"/>
  <c r="D9" i="66"/>
  <c r="D11" i="66" s="1"/>
  <c r="C9" i="66"/>
  <c r="C11" i="66" s="1"/>
  <c r="C38" i="78"/>
  <c r="C39" i="78" s="1"/>
  <c r="C40" i="78" s="1"/>
  <c r="C41" i="78" s="1"/>
  <c r="D38" i="78"/>
  <c r="D39" i="78" s="1"/>
  <c r="D40" i="78" s="1"/>
  <c r="D41" i="78" s="1"/>
  <c r="B39" i="78"/>
  <c r="B40" i="78" s="1"/>
  <c r="B41" i="78" s="1"/>
  <c r="E38" i="78"/>
  <c r="E39" i="78" s="1"/>
  <c r="E40" i="78" s="1"/>
  <c r="E41" i="78" s="1"/>
  <c r="F38" i="78"/>
  <c r="C111" i="76"/>
  <c r="C112" i="76" s="1"/>
  <c r="B25" i="66"/>
  <c r="D14" i="77"/>
  <c r="D15" i="77" s="1"/>
  <c r="D16" i="77" s="1"/>
  <c r="D17" i="77" s="1"/>
  <c r="B14" i="77"/>
  <c r="C11" i="60"/>
  <c r="B13" i="60"/>
  <c r="B12" i="60"/>
  <c r="B14" i="60" s="1"/>
  <c r="D23" i="78"/>
  <c r="D24" i="78" s="1"/>
  <c r="D25" i="78" s="1"/>
  <c r="D26" i="78" s="1"/>
  <c r="F23" i="78"/>
  <c r="F24" i="78" s="1"/>
  <c r="F25" i="78" s="1"/>
  <c r="F26" i="78" s="1"/>
  <c r="G23" i="78"/>
  <c r="G24" i="78" s="1"/>
  <c r="G25" i="78" s="1"/>
  <c r="G26" i="78" s="1"/>
  <c r="B24" i="78"/>
  <c r="B25" i="78" s="1"/>
  <c r="B26" i="78" s="1"/>
  <c r="C23" i="78"/>
  <c r="C24" i="78" s="1"/>
  <c r="C25" i="78" s="1"/>
  <c r="C26" i="78" s="1"/>
  <c r="H23" i="78"/>
  <c r="H24" i="78" s="1"/>
  <c r="H25" i="78" s="1"/>
  <c r="H26" i="78" s="1"/>
  <c r="J23" i="78"/>
  <c r="J24" i="78" s="1"/>
  <c r="J25" i="78" s="1"/>
  <c r="J26" i="78" s="1"/>
  <c r="E23" i="78"/>
  <c r="E24" i="78" s="1"/>
  <c r="E25" i="78" s="1"/>
  <c r="E26" i="78" s="1"/>
  <c r="I23" i="78"/>
  <c r="I24" i="78" s="1"/>
  <c r="I25" i="78" s="1"/>
  <c r="I26" i="78" s="1"/>
  <c r="K23" i="78"/>
  <c r="K24" i="78" s="1"/>
  <c r="K25" i="78" s="1"/>
  <c r="K26" i="78" s="1"/>
  <c r="C9" i="65"/>
  <c r="C10" i="65" s="1"/>
  <c r="C11" i="65" s="1"/>
  <c r="C12" i="65" s="1"/>
  <c r="D9" i="65"/>
  <c r="D10" i="65" s="1"/>
  <c r="D11" i="65" s="1"/>
  <c r="D12" i="65" s="1"/>
  <c r="C35" i="66"/>
  <c r="B36" i="66"/>
  <c r="C10" i="75"/>
  <c r="D10" i="75"/>
  <c r="F10" i="75"/>
  <c r="G10" i="75"/>
  <c r="B12" i="75"/>
  <c r="E10" i="75"/>
  <c r="H10" i="75"/>
  <c r="H11" i="75" s="1"/>
  <c r="I10" i="75"/>
  <c r="I12" i="75" s="1"/>
  <c r="J10" i="75"/>
  <c r="B11" i="75"/>
  <c r="C77" i="76"/>
  <c r="C78" i="76"/>
  <c r="C8" i="63"/>
  <c r="B9" i="63"/>
  <c r="B10" i="63" s="1"/>
  <c r="B11" i="63" s="1"/>
  <c r="B12" i="63" s="1"/>
  <c r="B13" i="63" s="1"/>
  <c r="B13" i="77"/>
  <c r="B15" i="77" s="1"/>
  <c r="B16" i="77" s="1"/>
  <c r="B17" i="77" s="1"/>
  <c r="I11" i="75"/>
  <c r="I13" i="75" s="1"/>
  <c r="I14" i="75" s="1"/>
  <c r="I15" i="75" s="1"/>
  <c r="B36" i="77"/>
  <c r="B14" i="69"/>
  <c r="B15" i="69" s="1"/>
  <c r="B16" i="69" s="1"/>
  <c r="B12" i="64"/>
  <c r="B13" i="64" s="1"/>
  <c r="B11" i="65"/>
  <c r="B12" i="65" s="1"/>
  <c r="B12" i="66"/>
  <c r="C12" i="69"/>
  <c r="C13" i="69"/>
  <c r="D10" i="69"/>
  <c r="B12" i="78"/>
  <c r="B13" i="78" s="1"/>
  <c r="B14" i="92"/>
  <c r="B15" i="92" s="1"/>
  <c r="B15" i="60"/>
  <c r="B16" i="60" s="1"/>
  <c r="E7" i="63"/>
  <c r="B38" i="77" l="1"/>
  <c r="B39" i="77" s="1"/>
  <c r="B40" i="77" s="1"/>
  <c r="D10" i="66"/>
  <c r="C10" i="66"/>
  <c r="B27" i="66"/>
  <c r="B28" i="66" s="1"/>
  <c r="B29" i="66" s="1"/>
  <c r="C79" i="76"/>
  <c r="C80" i="76" s="1"/>
  <c r="C81" i="76" s="1"/>
  <c r="D8" i="63"/>
  <c r="C9" i="63"/>
  <c r="C10" i="63" s="1"/>
  <c r="C11" i="63" s="1"/>
  <c r="C12" i="63" s="1"/>
  <c r="C13" i="63" s="1"/>
  <c r="B13" i="75"/>
  <c r="B14" i="75" s="1"/>
  <c r="B15" i="75" s="1"/>
  <c r="E11" i="75"/>
  <c r="E12" i="75"/>
  <c r="D12" i="75"/>
  <c r="D11" i="75"/>
  <c r="C26" i="66"/>
  <c r="C25" i="66"/>
  <c r="J11" i="75"/>
  <c r="J12" i="75"/>
  <c r="C12" i="75"/>
  <c r="C11" i="75"/>
  <c r="H12" i="75"/>
  <c r="H13" i="75" s="1"/>
  <c r="H14" i="75" s="1"/>
  <c r="H15" i="75" s="1"/>
  <c r="D36" i="77"/>
  <c r="D38" i="77" s="1"/>
  <c r="D39" i="77" s="1"/>
  <c r="D40" i="77" s="1"/>
  <c r="D37" i="77"/>
  <c r="F12" i="75"/>
  <c r="F11" i="75"/>
  <c r="F13" i="75" s="1"/>
  <c r="C13" i="60"/>
  <c r="C12" i="60"/>
  <c r="G12" i="75"/>
  <c r="G11" i="75"/>
  <c r="G13" i="75" s="1"/>
  <c r="G14" i="75" s="1"/>
  <c r="G15" i="75" s="1"/>
  <c r="C36" i="66"/>
  <c r="B37" i="66"/>
  <c r="C14" i="69"/>
  <c r="C15" i="69" s="1"/>
  <c r="C16" i="69" s="1"/>
  <c r="D12" i="66"/>
  <c r="D13" i="66" s="1"/>
  <c r="D14" i="66" s="1"/>
  <c r="C13" i="65"/>
  <c r="C14" i="65" s="1"/>
  <c r="B13" i="66"/>
  <c r="B14" i="66" s="1"/>
  <c r="D13" i="65"/>
  <c r="D14" i="65" s="1"/>
  <c r="F7" i="63"/>
  <c r="D12" i="69"/>
  <c r="D13" i="69"/>
  <c r="B13" i="65"/>
  <c r="B14" i="65" s="1"/>
  <c r="C12" i="66"/>
  <c r="C13" i="75" l="1"/>
  <c r="C27" i="66"/>
  <c r="C28" i="66" s="1"/>
  <c r="C29" i="66" s="1"/>
  <c r="D13" i="75"/>
  <c r="D14" i="75" s="1"/>
  <c r="D15" i="75" s="1"/>
  <c r="F14" i="75"/>
  <c r="F15" i="75" s="1"/>
  <c r="J13" i="75"/>
  <c r="J14" i="75" s="1"/>
  <c r="J15" i="75" s="1"/>
  <c r="C14" i="75"/>
  <c r="C15" i="75" s="1"/>
  <c r="E8" i="63"/>
  <c r="D9" i="63"/>
  <c r="D10" i="63" s="1"/>
  <c r="D11" i="63" s="1"/>
  <c r="D12" i="63" s="1"/>
  <c r="D13" i="63" s="1"/>
  <c r="C37" i="66"/>
  <c r="B38" i="66"/>
  <c r="C14" i="60"/>
  <c r="C15" i="60" s="1"/>
  <c r="C16" i="60" s="1"/>
  <c r="E13" i="75"/>
  <c r="E14" i="75" s="1"/>
  <c r="E15" i="75" s="1"/>
  <c r="C13" i="66"/>
  <c r="C14" i="66" s="1"/>
  <c r="D14" i="69"/>
  <c r="C38" i="66" l="1"/>
  <c r="B39" i="66"/>
  <c r="C39" i="66" s="1"/>
  <c r="F8" i="63"/>
  <c r="F9" i="63" s="1"/>
  <c r="F10" i="63" s="1"/>
  <c r="F11" i="63" s="1"/>
  <c r="F12" i="63" s="1"/>
  <c r="F13" i="63" s="1"/>
  <c r="E9" i="63"/>
  <c r="E10" i="63" s="1"/>
  <c r="E11" i="63" s="1"/>
  <c r="E12" i="63" s="1"/>
  <c r="E13" i="63" s="1"/>
  <c r="D15" i="69"/>
  <c r="D16" i="69" s="1"/>
  <c r="B40" i="66" l="1"/>
  <c r="C40" i="66" s="1"/>
</calcChain>
</file>

<file path=xl/sharedStrings.xml><?xml version="1.0" encoding="utf-8"?>
<sst xmlns="http://schemas.openxmlformats.org/spreadsheetml/2006/main" count="2024" uniqueCount="1130">
  <si>
    <t>1.</t>
  </si>
  <si>
    <t>számú melléklet</t>
  </si>
  <si>
    <t>2.</t>
  </si>
  <si>
    <t>Ivóvíz- és csatornadíjak</t>
  </si>
  <si>
    <t>3.</t>
  </si>
  <si>
    <t>3-1.</t>
  </si>
  <si>
    <t>Vízmérőgazdálkodással kapcsolatos tevékenységek időszükséglete</t>
  </si>
  <si>
    <t>4.</t>
  </si>
  <si>
    <t>Fogyasztónak felróhatóan meghiúsult tevékenység esetén a kiszállás díja</t>
  </si>
  <si>
    <t>5.</t>
  </si>
  <si>
    <t>Vízmérő fogyasztó által kért ellenőrző olvasása</t>
  </si>
  <si>
    <t>6.</t>
  </si>
  <si>
    <t>6-1.</t>
  </si>
  <si>
    <t>7.</t>
  </si>
  <si>
    <t>Mellékmérő beszerelése többlakásos épületben</t>
  </si>
  <si>
    <t>8.</t>
  </si>
  <si>
    <t>Soros mellékmérőcsere többlakásos épületben</t>
  </si>
  <si>
    <t>8-1.</t>
  </si>
  <si>
    <t>9.</t>
  </si>
  <si>
    <t>Nem soros mellékmérőcsere többlakásos épületben</t>
  </si>
  <si>
    <t>10.</t>
  </si>
  <si>
    <t>11.</t>
  </si>
  <si>
    <t>Vízbekötés, mérőbeépítés</t>
  </si>
  <si>
    <t>12.</t>
  </si>
  <si>
    <t>13.</t>
  </si>
  <si>
    <t>14.</t>
  </si>
  <si>
    <t>Vízszolgáltatás szüneteltetése vízmérő kiszereléssel, csökkentése szűkítéssel, valamint a vízszolgáltatás visszaállítása</t>
  </si>
  <si>
    <t>15.</t>
  </si>
  <si>
    <t>16.</t>
  </si>
  <si>
    <t>Csatornatisztítás és szennyvízszippantás díja</t>
  </si>
  <si>
    <t>17.</t>
  </si>
  <si>
    <t>18.</t>
  </si>
  <si>
    <t>19.</t>
  </si>
  <si>
    <t xml:space="preserve">Környezeti elemek laboratóriumi vizsgálata, elemzése </t>
  </si>
  <si>
    <t>19-1.</t>
  </si>
  <si>
    <t>20.</t>
  </si>
  <si>
    <t>21.</t>
  </si>
  <si>
    <t>Saját üdülőben történő üdültetés</t>
  </si>
  <si>
    <t>22.</t>
  </si>
  <si>
    <t>Dolgozók munkaviszonyának megszűnése esetén a munkaruha megváltása</t>
  </si>
  <si>
    <t>23.</t>
  </si>
  <si>
    <t>24.</t>
  </si>
  <si>
    <t>Csatornabekötés nyilvántartásba vételi díja egyedi helyszíni felmérés esetén</t>
  </si>
  <si>
    <t>25.</t>
  </si>
  <si>
    <t>Adatszolgáltatás</t>
  </si>
  <si>
    <t>26.</t>
  </si>
  <si>
    <t>27.</t>
  </si>
  <si>
    <t>Közműfejlesztési hozzájárulás, tűzivízbiztosítás díja</t>
  </si>
  <si>
    <t>28.</t>
  </si>
  <si>
    <t>Térképtárból eredeti tervdokumentációról készült másolat kiadása</t>
  </si>
  <si>
    <t>29.</t>
  </si>
  <si>
    <t>1. számú melléklet</t>
  </si>
  <si>
    <t>FONTOSABB HATÁLYOS JOGSZABÁLYOK JEGYZÉKE</t>
  </si>
  <si>
    <t>1990. évi LXXXVII. törvény</t>
  </si>
  <si>
    <t>Az árak megállapításáról</t>
  </si>
  <si>
    <t>2003. évi XCII. törvény</t>
  </si>
  <si>
    <t>Az adózás rendjéről</t>
  </si>
  <si>
    <t>2000. évi C. törvény</t>
  </si>
  <si>
    <t>A számvitelről</t>
  </si>
  <si>
    <t>1991. évi XLV. törvény</t>
  </si>
  <si>
    <t>A mérésügyről</t>
  </si>
  <si>
    <t>2007. évi CXXVII. törvény</t>
  </si>
  <si>
    <t xml:space="preserve">Az általános forgalmi adóról </t>
  </si>
  <si>
    <t>1995. évi LVII. törvény</t>
  </si>
  <si>
    <t>A vízgazdálkodásról</t>
  </si>
  <si>
    <t>1996. évi LVII. törvény</t>
  </si>
  <si>
    <t>A tisztességtelen piaci magatartás és a versenykorlátozás tilalmáról</t>
  </si>
  <si>
    <t>2003. évi LXXXIX. törvény</t>
  </si>
  <si>
    <t>A környezetterhelési díjról</t>
  </si>
  <si>
    <t>253/1997. (XII.20.) Kormány rendelet</t>
  </si>
  <si>
    <t>Az országos településrendezési és építési követelményekről</t>
  </si>
  <si>
    <t>47/1999. (XII.28.) KHVM rendelet</t>
  </si>
  <si>
    <t>Az állami tulajdonú közüzemi vízműből szolgáltatott ivóvízért, ill. az állami tulajdonú csatornamű használatáért fizetendő díjakról</t>
  </si>
  <si>
    <t>78/1997. (XII.30.) IKIM rendelet</t>
  </si>
  <si>
    <t>A mérésügyi igazgatási szolgáltatások igénybevételéért fizetendő díjak megállapításáról (többszöri módosítással)</t>
  </si>
  <si>
    <t>9006/1999. (SK 5.) KSH közlemény</t>
  </si>
  <si>
    <t>Az Építményjegyzékről</t>
  </si>
  <si>
    <t>9002/2007. (SK 3.) KSH közlemény</t>
  </si>
  <si>
    <t>A gazdasági tevékenységek egységes ágazati osztályzási rendszeréről</t>
  </si>
  <si>
    <t>4/2010. (IV.21.) KSH közlemény</t>
  </si>
  <si>
    <t>A Szolgáltatások Jegyzékéről szóló  9004/2002. (SK 7.) KSH közlemény, valamint a Szolgáltatások Jegyzéke  módosításáról szóló 9001/2003. (SK 3.) KSH közlemény hatályon kívül helyezéséről</t>
  </si>
  <si>
    <t>            </t>
  </si>
  <si>
    <t>Ivóvíz</t>
  </si>
  <si>
    <t>**</t>
  </si>
  <si>
    <t>Megnevezés</t>
  </si>
  <si>
    <t>Járulék</t>
  </si>
  <si>
    <t>Összesen</t>
  </si>
  <si>
    <t>VÍZMÉRŐGAZDÁLKODÁSSAL KAPCSOLATOS
TEVÉKENYSÉGEK IDŐSZÜKSÉGLETE</t>
  </si>
  <si>
    <t>Tevékenység</t>
  </si>
  <si>
    <t>Szükséges létszám (fő)</t>
  </si>
  <si>
    <t>Idő-szükséglet (óra)</t>
  </si>
  <si>
    <t>VÍZMÉRŐ FOGYASZTÓ ÁLTAL KÉRT ELLENŐRZŐ OLVASÁSA</t>
  </si>
  <si>
    <t>ÚJ BEÉPÍTÉSŰ MELLÉKVÍZMÉRŐ PLOMBÁLÁSA</t>
  </si>
  <si>
    <t>VÍZBEKÖTÉS</t>
  </si>
  <si>
    <t>A BEKÖTÉSI MÉRŐ ÉDV Rt. PLOMBÁJÁNAK ILLETÉKTELEN FELBONTÁSA, ELTÁVOLÍTÁSA ESETÉN AZ ÚJRA PLOMBÁLÁS DÍJA</t>
  </si>
  <si>
    <t>MELLÉKMÉRŐK BESZERELÉSE TÖBBLAKÁSOS ÉPÜLETBE</t>
  </si>
  <si>
    <t>NEM SOROS MELLÉKMÉRŐCSERE TÖBBLAKÁSOS ÉPÜLETBEN</t>
  </si>
  <si>
    <t>SOROS MELLÉKMÉRŐCSERÉK TÖBBLAKÁSOS ÉPÜLETBEN</t>
  </si>
  <si>
    <t>VÍZMÉRŐCSERE ELFAGYOTT VÍZMÉRŐ ESETÉN,VALAMINT A FOGYASZTÓNAK FELRÓHATÓ OKBÓL TÖRTÉNŐ MEGHIBÁSODÁS ESETÉN</t>
  </si>
  <si>
    <t>HASZNÁLATI MÉRŐESZKÖZ PONTOSSÁG ELLENŐRZÉSE A FOGYASZTÓ MEGRENDELÉSE ESETÉN</t>
  </si>
  <si>
    <t>VÍZBEKÖTÉS MEGSZÜNTETÉSE VÉGLEGESEN (A TÖRZSVEZETÉKRŐL TÖRTÉNŐ LEÁGAZÁS MEGSZÜNTETÉSÉVEL)</t>
  </si>
  <si>
    <t>VÍZSZOLGÁLTATÁS CSÖKKENTÉSE SZŰKÍTÉSSEL, VALAMINT SZŰKÍTÉS UTÁN A VÍZSZOLGÁLTATÁS VISSZAÁLLÍTÁSA</t>
  </si>
  <si>
    <t>FOGYASZTÓNAK FELRÓHATÓAN MEGHIÚSULT
 TEVÉKENYSÉG ESETÉN A KISZÁLLÁS DÍJA</t>
  </si>
  <si>
    <t>TESZOR 749020</t>
  </si>
  <si>
    <t>A díj akkor számítható fel, ha a tevékenység - ellenőrző leolvasás, plombálás, szűkítés, elzárás, mérőcsere vagy a mérőhelyen végzendő javítás, hibaelhárítás esetén - az előre egyeztetett időpont ellenére sem valósult meg.</t>
  </si>
  <si>
    <t>Eredményfedezet 20 %</t>
  </si>
  <si>
    <t>ÁFA 27 %</t>
  </si>
  <si>
    <t>Mindösszesen</t>
  </si>
  <si>
    <t xml:space="preserve"> VÍZMÉRŐ FOGYASZTÓ ÁLTAL KÉRT ELLENŐRZŐ OLVASÁSA</t>
  </si>
  <si>
    <t>Kiszállás</t>
  </si>
  <si>
    <t>Teljes önköltség</t>
  </si>
  <si>
    <t>Eredményfedezet (v. a. az anyagmentes teljes önköltség) 20 %</t>
  </si>
  <si>
    <t>Társasház közösség részére többlakásos épületben egynél több mérő leolvasása esetén a kiszállási díj egyszer számítandó fel.</t>
  </si>
  <si>
    <t>TESZOR 712019</t>
  </si>
  <si>
    <t xml:space="preserve">Teljes önköltség  </t>
  </si>
  <si>
    <t xml:space="preserve">Eredményfedezet (v. a. az anyagmentes teljes önköltség) 20 % </t>
  </si>
  <si>
    <t xml:space="preserve">Összesen </t>
  </si>
  <si>
    <t>MELLÉKMÉRŐK BESZERELÉSE TÖBBLAKÁSOS ÉPÜLETBEN</t>
  </si>
  <si>
    <t>TESZOR 432211</t>
  </si>
  <si>
    <t>……………..</t>
  </si>
  <si>
    <t>ÁFA</t>
  </si>
  <si>
    <t>8. számú melléklet</t>
  </si>
  <si>
    <t>Teljes  önköltség</t>
  </si>
  <si>
    <t xml:space="preserve"> Nem javítható vízmérő csere rádiótávadózhatóra</t>
  </si>
  <si>
    <t>VÍZBEKÖTÉS, MÉRŐBEÉPÍTÉS</t>
  </si>
  <si>
    <t>ÉJ 2222</t>
  </si>
  <si>
    <t xml:space="preserve">A szerződéskötéskor fizetendő előleg vízbekötés esetén:                   </t>
  </si>
  <si>
    <t xml:space="preserve">A szerződéskötéskor fizetendő előleg mérőbeépítés esetén:              </t>
  </si>
  <si>
    <t>A vízbekötés munkafolyamatai</t>
  </si>
  <si>
    <t>Igénybejelentés, tájékoztató átadása</t>
  </si>
  <si>
    <t>Tervezői egyeztetés</t>
  </si>
  <si>
    <t>Terv</t>
  </si>
  <si>
    <t xml:space="preserve">     - műszaki leírás</t>
  </si>
  <si>
    <t xml:space="preserve">    - közterület felbontási engedély</t>
  </si>
  <si>
    <t xml:space="preserve">    - útátfúrási engedély</t>
  </si>
  <si>
    <t xml:space="preserve">    - közmű nyilatkozatok</t>
  </si>
  <si>
    <t>Tervezői jogosultság ellenőrzése</t>
  </si>
  <si>
    <t>Vízbekötési kérelem kitöltése</t>
  </si>
  <si>
    <t>Fogyasztó felvétele a nyilvántartási rendszerbe</t>
  </si>
  <si>
    <t>Tulajdoni lap másolata</t>
  </si>
  <si>
    <t>Tulajdonos hozzájárulása</t>
  </si>
  <si>
    <t>Vízbekötés elvégzése</t>
  </si>
  <si>
    <t>Számla kiállítása</t>
  </si>
  <si>
    <t>Vízbekötések tervezői helyszínrajza</t>
  </si>
  <si>
    <t xml:space="preserve"> </t>
  </si>
  <si>
    <t>Vízbekötések</t>
  </si>
  <si>
    <t>Anyagszükséglet</t>
  </si>
  <si>
    <t xml:space="preserve">Hagyományos, </t>
  </si>
  <si>
    <t>Csak a</t>
  </si>
  <si>
    <t>törzshálózatról</t>
  </si>
  <si>
    <t>vízmérőakna</t>
  </si>
  <si>
    <t>történő bekötés</t>
  </si>
  <si>
    <t>szerelvényezése</t>
  </si>
  <si>
    <t>Felhasznált anyagok, szerelvények raktári kivételezése, előkészítése, előszerelés</t>
  </si>
  <si>
    <t>Helyszíni ellenőrzés (a fogyasztó által végzett munkák: földmunka, vízmérőakna ellenőrzése)</t>
  </si>
  <si>
    <t>Helyszíni szerelési munka</t>
  </si>
  <si>
    <t>Mosatás, fertőtlenítés, végellenőrzés, munka dokumentálása</t>
  </si>
  <si>
    <t xml:space="preserve"> Összesen</t>
  </si>
  <si>
    <t>Lakossági vízbekötés</t>
  </si>
  <si>
    <t xml:space="preserve">Anyagköltség </t>
  </si>
  <si>
    <t>……………</t>
  </si>
  <si>
    <t xml:space="preserve">       (eladási ár = nyilvántartási ár + 23,0 % árrés)</t>
  </si>
  <si>
    <t xml:space="preserve">Vállallási díj </t>
  </si>
  <si>
    <t xml:space="preserve">        kiszállási díj</t>
  </si>
  <si>
    <t xml:space="preserve">        eredményfedezet</t>
  </si>
  <si>
    <t>Nem lakossági vízbekötések</t>
  </si>
  <si>
    <t>A megrendelő által benyújtott terv elbírálása alapján egyedi kalkulációt alkalmazunk a raktári nyilvántartási árak valamint az Árszabályzatban szereplő rezsióradíjak és kiszállási díjak figyelembevételével.</t>
  </si>
  <si>
    <t>Locsolási célú mellékvízmérő beépítése</t>
  </si>
  <si>
    <t>A locsolási célú mellékvízmérő beépítése az Integrált Irányítási Rendszer 7.2.3. Fogyasztói szerződések kötése c. eljárása szerint történik. A locsolási célú mellékmérő beépítését a 7.2.3.-026. sz. Tájékoztatóban foglaltak szerint kell megvalósítani.</t>
  </si>
  <si>
    <t>A mellékmérő telepítésére a 30/2004. (II.28.) Korm. Rendelet szerinti műszaki leírás és tervrajzok benyújtása, elfogadása, valamint a Szolgáltatási szerződés kiegészítése után kerülhet sor.</t>
  </si>
  <si>
    <t>Kedvezményes átalány megszüntetés</t>
  </si>
  <si>
    <t>Anyagköltség</t>
  </si>
  <si>
    <t>A kedvezményes díj abban az esetben alkalmazható, ha a megszüntetést megrendelő fogyasztónak nincs lejárt idejű tartozása.</t>
  </si>
  <si>
    <t>Közkút megszüntetéssel járó kedvezményes vízbekötés díja</t>
  </si>
  <si>
    <t>Vízbekötés díja (anyagköltséggel együtt)</t>
  </si>
  <si>
    <t>ÁFA 27%</t>
  </si>
  <si>
    <t>Vízbekötés díja összesen</t>
  </si>
  <si>
    <t>A díj a földmunkák, illetve a műtárgy építés (vízmérő akna) költségét nem tartalmazza.</t>
  </si>
  <si>
    <t>A fenti összeg csak a feltárás és megszüntetés költségeit tartalmazza, az úthelyreállítás és</t>
  </si>
  <si>
    <t>VÍZMÉRŐCSERE ELFAGYOTT VÍZMÉRŐ ESETÉN, VALAMINT A FOGYASZTÓNAK FELRÓHATÓ OKBÓL TÖRTÉNŐ MEGHIBÁSODÁS ESETÉN</t>
  </si>
  <si>
    <t>VÍZSZOLGÁLTATÁS SZÜNETELTETÉSE VÍZMÉRŐ KISZERELÉSSEL, CSÖKKENTÉSE SZŰKÍTÉSSEL,  VALAMINT VÍZSZOLGÁLTATÁS VISSZAÁLLÍTÁSA</t>
  </si>
  <si>
    <t>Bekötési vízmérős szolgáltatás szüneteltetése</t>
  </si>
  <si>
    <t>Vízmérő-</t>
  </si>
  <si>
    <t>Szolgáltatás</t>
  </si>
  <si>
    <t>kiszerelés</t>
  </si>
  <si>
    <t>visszaállítás</t>
  </si>
  <si>
    <t>Vízszolgáltatás megszüntetése vízmérő kiszerelésével, csatlakozási csonk menetes végdugóval való ellátásával</t>
  </si>
  <si>
    <t>Abban az esetben, ha a fogyasztó vízmérőaknájában több mérő van felszerelve és a szolgáltatás</t>
  </si>
  <si>
    <t>megszüntetése több vízmérőre vonatkozik oly módon, hogy a szolgáltatás legalább egy vízmérőn</t>
  </si>
  <si>
    <t>folyamatos marad, a fizetendő díj az alábbiak szerint alakul:</t>
  </si>
  <si>
    <t xml:space="preserve"> - minden költség tétel a kiszerelt mérők számával arányosan kerül megállapításra;</t>
  </si>
  <si>
    <t xml:space="preserve"> - a kiszállási díj egyszer számítandó fel.</t>
  </si>
  <si>
    <t>Szűkítés</t>
  </si>
  <si>
    <t>15. számú melléklet</t>
  </si>
  <si>
    <t>1.1. Vízmérők helyszíni kontroll bemérése</t>
  </si>
  <si>
    <t>Kiszállási költség</t>
  </si>
  <si>
    <t>MKEH szerkezeti vizsgálat díja (táblázatból)</t>
  </si>
  <si>
    <t>Összesen:</t>
  </si>
  <si>
    <t>(a díjak az ÁFA -t nem tartalmazzák)</t>
  </si>
  <si>
    <t>Pontosság ellenőrzés díja /Ft/</t>
  </si>
  <si>
    <t xml:space="preserve">FEJÉRVÍZ ZRT. Szállítási és Vízmérőjavító Üzemmérnőkség </t>
  </si>
  <si>
    <t>8000 Székesfehérvár, Sárkeresztúri u. 14.</t>
  </si>
  <si>
    <t>Egyszerű vízmérő</t>
  </si>
  <si>
    <t>Kombinált vízmérő</t>
  </si>
  <si>
    <t xml:space="preserve">ECOVÍZ KFT. </t>
  </si>
  <si>
    <t>2600 Vác, Kőhíd u. 2.</t>
  </si>
  <si>
    <t>Telefon: 06/1/458-5841</t>
  </si>
  <si>
    <t>CSATORNATISZTÍTÁS ÉS SZENNYVÍZSZIPPANTÁS DÍJA</t>
  </si>
  <si>
    <t>Esztergom-Dorog Vízmű Üzem</t>
  </si>
  <si>
    <t>Szennyvízszippantás (tartalmazza az ártalmatlanítás költségét is)</t>
  </si>
  <si>
    <t>TESZOR 370012</t>
  </si>
  <si>
    <t>km-díj</t>
  </si>
  <si>
    <t>Ft/km</t>
  </si>
  <si>
    <t>óradíj</t>
  </si>
  <si>
    <t>Csatornatisztítás kombinált jármű igénybe vételével</t>
  </si>
  <si>
    <t>A fenti árak az ÁFÁ-t nem tartalmazzák.</t>
  </si>
  <si>
    <t>17. számú melléklet</t>
  </si>
  <si>
    <t>TESZOR 370020</t>
  </si>
  <si>
    <t>Tatabánya-Tata-BIRV Vízmű Üzem</t>
  </si>
  <si>
    <r>
      <t>Kezelési költség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</si>
  <si>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r>
      <t>Összesen (Ft/m</t>
    </r>
    <r>
      <rPr>
        <b/>
        <vertAlign val="superscript"/>
        <sz val="10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</si>
  <si>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Folyékony hulladék küszöbértékek</t>
  </si>
  <si>
    <t>pH</t>
  </si>
  <si>
    <t>6,5 - 10</t>
  </si>
  <si>
    <t>max.</t>
  </si>
  <si>
    <t>5000 mg/l</t>
  </si>
  <si>
    <r>
      <t>NH</t>
    </r>
    <r>
      <rPr>
        <vertAlign val="subscript"/>
        <sz val="11"/>
        <rFont val="Times New Roman CE"/>
        <charset val="238"/>
      </rPr>
      <t xml:space="preserve">4 </t>
    </r>
    <r>
      <rPr>
        <sz val="11"/>
        <rFont val="Times New Roman CE"/>
        <charset val="238"/>
      </rPr>
      <t>-</t>
    </r>
    <r>
      <rPr>
        <vertAlign val="subscript"/>
        <sz val="11"/>
        <rFont val="Times New Roman CE"/>
        <charset val="238"/>
      </rPr>
      <t xml:space="preserve"> </t>
    </r>
    <r>
      <rPr>
        <sz val="11"/>
        <rFont val="Times New Roman CE"/>
        <charset val="238"/>
      </rPr>
      <t>N</t>
    </r>
  </si>
  <si>
    <t xml:space="preserve"> 500 mg/l</t>
  </si>
  <si>
    <t>öP</t>
  </si>
  <si>
    <t xml:space="preserve">  50 mg/l</t>
  </si>
  <si>
    <t>SZOE</t>
  </si>
  <si>
    <t>Amennyiben a vizsgálat a beszállított folyékony hulladékban a fentiekben meghatározott értékeken felüli mennyiséget mutat ki, 20 - 50 % közötti túllépés esetén ötszörös, 50 % feletti túllépés esetén tízszeres kezelési díjat számolunk fel.</t>
  </si>
  <si>
    <t>18. számú melléklet</t>
  </si>
  <si>
    <r>
      <t>Összesen (Ft/m</t>
    </r>
    <r>
      <rPr>
        <b/>
        <vertAlign val="superscript"/>
        <sz val="11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</si>
  <si>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Esztergom-Dorog Vízmű Üzem (Esztergom szennyvíztelep)</t>
  </si>
  <si>
    <t>KÖRNYEZETI ELEMEK LABORATÓRIUMI VIZSGÁLATA, ELEMZÉSE</t>
  </si>
  <si>
    <t>TESZOR 712011</t>
  </si>
  <si>
    <t>I. Ivó-, fürdő- és felszíni vizek</t>
  </si>
  <si>
    <t>Vizsgálat megnevezése</t>
  </si>
  <si>
    <t>Szín, szag, íz</t>
  </si>
  <si>
    <t>Hőmérséklet</t>
  </si>
  <si>
    <t>Fajlagos elektromos vezetőképesség</t>
  </si>
  <si>
    <t>KOI</t>
  </si>
  <si>
    <t>Összes keménység</t>
  </si>
  <si>
    <t>m-szám</t>
  </si>
  <si>
    <t>p-szám</t>
  </si>
  <si>
    <t>Szulfát</t>
  </si>
  <si>
    <t>Klorid</t>
  </si>
  <si>
    <t>Nitrát</t>
  </si>
  <si>
    <t>Nitrit</t>
  </si>
  <si>
    <t>Cianid</t>
  </si>
  <si>
    <t>Fluorid</t>
  </si>
  <si>
    <t>orto-foszfát</t>
  </si>
  <si>
    <t>összes foszfor</t>
  </si>
  <si>
    <t>Ammónium</t>
  </si>
  <si>
    <t>Nátrium</t>
  </si>
  <si>
    <t>Kálium</t>
  </si>
  <si>
    <t>Kálcium</t>
  </si>
  <si>
    <t>Magnézium</t>
  </si>
  <si>
    <t>Vas</t>
  </si>
  <si>
    <t>Mangán</t>
  </si>
  <si>
    <t>Alumínium</t>
  </si>
  <si>
    <t>Cink</t>
  </si>
  <si>
    <t>Réz</t>
  </si>
  <si>
    <t>Ólom</t>
  </si>
  <si>
    <t>Kadmium</t>
  </si>
  <si>
    <t>Króm</t>
  </si>
  <si>
    <t>Nikkel</t>
  </si>
  <si>
    <t>Higany</t>
  </si>
  <si>
    <t>Arzén</t>
  </si>
  <si>
    <t>Bór</t>
  </si>
  <si>
    <t>Szelén</t>
  </si>
  <si>
    <t>Ezüst</t>
  </si>
  <si>
    <t>Molibdén</t>
  </si>
  <si>
    <t>Antimon</t>
  </si>
  <si>
    <t>Bárium</t>
  </si>
  <si>
    <t>Stroncium</t>
  </si>
  <si>
    <t>Kobalt</t>
  </si>
  <si>
    <t>Klórmegkötő képesség</t>
  </si>
  <si>
    <t>Összes aktív klór</t>
  </si>
  <si>
    <t>Kénhidrogén</t>
  </si>
  <si>
    <t>Oldott oxigén</t>
  </si>
  <si>
    <t>Szabad széndioxid</t>
  </si>
  <si>
    <t>Kötött széndioxid</t>
  </si>
  <si>
    <t>Mészre agresszív széndioxid</t>
  </si>
  <si>
    <t>Egyensúlyi széndioxid</t>
  </si>
  <si>
    <t>Nátrium tioszulfát</t>
  </si>
  <si>
    <t>Nátrium karbonát</t>
  </si>
  <si>
    <t>Egyensúlyi pH</t>
  </si>
  <si>
    <t>Langelier-Strohecker index</t>
  </si>
  <si>
    <t>Ryznar index</t>
  </si>
  <si>
    <t>Jodid</t>
  </si>
  <si>
    <t>Kjeldahl nitrogén</t>
  </si>
  <si>
    <t>Olajszármazékok (UV)</t>
  </si>
  <si>
    <t>Anionaktív detergens</t>
  </si>
  <si>
    <t>Összes oldott anyag</t>
  </si>
  <si>
    <t>Összes lebegőanyag</t>
  </si>
  <si>
    <t>Zavarosság</t>
  </si>
  <si>
    <t>Bepárlási maradék</t>
  </si>
  <si>
    <t>AOX</t>
  </si>
  <si>
    <t>Baktériumszám 22°C-on</t>
  </si>
  <si>
    <t>Baktériumszám 37°C-on</t>
  </si>
  <si>
    <t>Coliformszám</t>
  </si>
  <si>
    <t>Fecal coliform</t>
  </si>
  <si>
    <t>Pseudomonas aeruginosa</t>
  </si>
  <si>
    <t>Streptococcus faecalis</t>
  </si>
  <si>
    <t>Escherichia coli</t>
  </si>
  <si>
    <t>Enterococcusok</t>
  </si>
  <si>
    <t>Clostridium perfringens (spórákkal együtt)</t>
  </si>
  <si>
    <t>Mikroszkópikus biológiai vizsgálat</t>
  </si>
  <si>
    <t>PAH-ok (16 komponens)</t>
  </si>
  <si>
    <t>Klórbenzolok</t>
  </si>
  <si>
    <t>PCB</t>
  </si>
  <si>
    <t>BTEX és egyéb alkilbenzolok</t>
  </si>
  <si>
    <t>II. Szennyvíz</t>
  </si>
  <si>
    <t>Összes szárazanyag</t>
  </si>
  <si>
    <t>összes lebegőanyag</t>
  </si>
  <si>
    <t>Mohlman-index</t>
  </si>
  <si>
    <t>Ülepedés</t>
  </si>
  <si>
    <t>BOI5</t>
  </si>
  <si>
    <t>Lúgosság</t>
  </si>
  <si>
    <t>Összes foszfor</t>
  </si>
  <si>
    <t>összes nitrogén (számolás)</t>
  </si>
  <si>
    <t xml:space="preserve">Kjeldahl nitrogén </t>
  </si>
  <si>
    <t>Összes nátrium</t>
  </si>
  <si>
    <t>Összes kálium</t>
  </si>
  <si>
    <t>Összes kálcium</t>
  </si>
  <si>
    <t>Összes magnézium</t>
  </si>
  <si>
    <t>Összes vas</t>
  </si>
  <si>
    <t>Összes mangán</t>
  </si>
  <si>
    <t>Összes cink</t>
  </si>
  <si>
    <t>Összes réz</t>
  </si>
  <si>
    <t>Összes  kadmium</t>
  </si>
  <si>
    <t>Összes kobalt</t>
  </si>
  <si>
    <t>Összes króm</t>
  </si>
  <si>
    <t>Összes nikkel</t>
  </si>
  <si>
    <t>Összes molibdén</t>
  </si>
  <si>
    <t>Összes arzén</t>
  </si>
  <si>
    <t>Összes ólom</t>
  </si>
  <si>
    <t>Összes ón</t>
  </si>
  <si>
    <t>Összes higany</t>
  </si>
  <si>
    <t>Króm (VI.)</t>
  </si>
  <si>
    <t>Összes aktív klórtartalom</t>
  </si>
  <si>
    <t>Titán</t>
  </si>
  <si>
    <t>Vanádium</t>
  </si>
  <si>
    <t>Összes fenol (fenolindex)</t>
  </si>
  <si>
    <t>Szulfid</t>
  </si>
  <si>
    <t>Coliform</t>
  </si>
  <si>
    <t>Illékony halogénezett alifás szénhidrogének</t>
  </si>
  <si>
    <t>III. Szennyvíziszap</t>
  </si>
  <si>
    <t>Iszapkoncentráció</t>
  </si>
  <si>
    <t>Szárazanyag 105°C-on</t>
  </si>
  <si>
    <t>Izzítási maradék és veszteség</t>
  </si>
  <si>
    <t>Összes kadmium</t>
  </si>
  <si>
    <t>Eredeti szárazanyag</t>
  </si>
  <si>
    <t>Streptococcus fekalis</t>
  </si>
  <si>
    <t>Helyiségek</t>
  </si>
  <si>
    <t>TESZOR 682012</t>
  </si>
  <si>
    <t>Raktárak</t>
  </si>
  <si>
    <r>
      <t>Ft/m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/év</t>
    </r>
  </si>
  <si>
    <t>Műhelyek</t>
  </si>
  <si>
    <t>Irodák</t>
  </si>
  <si>
    <t>Szabad terület</t>
  </si>
  <si>
    <t>Elkerített terület</t>
  </si>
  <si>
    <t>SAJÁT ÜDÜLŐBEN TÖRTÉNŐ ÜDÜLTETÉS DÍJA</t>
  </si>
  <si>
    <t>TESZOR 552019</t>
  </si>
  <si>
    <t>Balatonföldvár</t>
  </si>
  <si>
    <t xml:space="preserve">  - 1 napos (4 fő feletti) baráti összejövetelre</t>
  </si>
  <si>
    <t>Ft/nap</t>
  </si>
  <si>
    <t>Cserkeszőlő</t>
  </si>
  <si>
    <t>Komárom</t>
  </si>
  <si>
    <t>Idegenforgalmi adó</t>
  </si>
  <si>
    <t xml:space="preserve">    </t>
  </si>
  <si>
    <t>Az árak az ÁFÁ-t tartalmazzák.</t>
  </si>
  <si>
    <t>aktuális nyilvántartási ár</t>
  </si>
  <si>
    <t>SZAKFELÜGYELET DÍJA</t>
  </si>
  <si>
    <t>Víziközművek építésével, üzemeltetésével kapcsolatos szakértői tevékenység, szaktanácsadás</t>
  </si>
  <si>
    <t>TESZOR 711211</t>
  </si>
  <si>
    <t>Ft/óra</t>
  </si>
  <si>
    <t>Szakfelügyelet:</t>
  </si>
  <si>
    <t>Szennyvíz bekötőcsatorna minősítés egyedi fogyasztói megrendelés esetén</t>
  </si>
  <si>
    <t>Hálózatdiagnosztikai szolgáltatás</t>
  </si>
  <si>
    <t>Szolgáltatás díja</t>
  </si>
  <si>
    <t xml:space="preserve"> (Telephely: Tatabánya, Táncsics Mihály út)</t>
  </si>
  <si>
    <t>Ft</t>
  </si>
  <si>
    <r>
      <t>Ft/m</t>
    </r>
    <r>
      <rPr>
        <vertAlign val="superscript"/>
        <sz val="11"/>
        <rFont val="Times New Roman CE"/>
        <charset val="238"/>
      </rPr>
      <t>3</t>
    </r>
  </si>
  <si>
    <t>Az ÉDV Zrt. normál munkaidejétől eltérő munkavégzés esetén a díj mértéke emelkedik. Hétköznap +50 %, hétvégén +100 %.</t>
  </si>
  <si>
    <t>CSATORNA BEKÖTÉS NYILVÁNTARTÁSBA VÉTELI DÍJA 
EGYEDI HELYSZÍNI FELMÉRÉS ESETÉN</t>
  </si>
  <si>
    <t>ADATSZOLGÁLTATÁS</t>
  </si>
  <si>
    <t>Eseti adatszolgáltatás számítógépes nyilvántartásból</t>
  </si>
  <si>
    <t xml:space="preserve"> Ft/rekord</t>
  </si>
  <si>
    <t>Számla másolat adás</t>
  </si>
  <si>
    <t xml:space="preserve"> Ft/darab</t>
  </si>
  <si>
    <t>lakosság részére</t>
  </si>
  <si>
    <t>Ft/nyilatkozat</t>
  </si>
  <si>
    <t>gazdálkodó szervezet részére</t>
  </si>
  <si>
    <t>KÖZMŰFEJLESZTÉSI HOZZÁJÁRULÁS,
TŰZIVÍZBIZTOSÍTÁS DÍJA</t>
  </si>
  <si>
    <t>A közműfejlesztési hozzájárulás értéke</t>
  </si>
  <si>
    <t xml:space="preserve">             ivóvíz</t>
  </si>
  <si>
    <r>
      <t>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/nap</t>
    </r>
  </si>
  <si>
    <t xml:space="preserve">            szennyvíz</t>
  </si>
  <si>
    <t>Tűzivízbiztosítás díja</t>
  </si>
  <si>
    <t>Hatósági engedélybe rögzített igény alapján</t>
  </si>
  <si>
    <t>Ft/liter/min</t>
  </si>
  <si>
    <t>A közműfejlesztési hozzájárulás mértékének meghatározása</t>
  </si>
  <si>
    <t>IVÓVÍZELLÁTÁS</t>
  </si>
  <si>
    <r>
      <t>Ft/m</t>
    </r>
    <r>
      <rPr>
        <b/>
        <vertAlign val="superscript"/>
        <sz val="11"/>
        <rFont val="Times New Roman"/>
        <family val="1"/>
        <charset val="238"/>
      </rPr>
      <t>3</t>
    </r>
    <r>
      <rPr>
        <b/>
        <sz val="11"/>
        <rFont val="Times New Roman"/>
        <family val="1"/>
        <charset val="238"/>
      </rPr>
      <t>/nap</t>
    </r>
  </si>
  <si>
    <t>1.      Vízbeszerzés</t>
  </si>
  <si>
    <t>2.      Víztárolás, vízszállítás, vízműtelep</t>
  </si>
  <si>
    <t>3.      Vízkezelés</t>
  </si>
  <si>
    <t>4.      Vízelosztás, hálózat</t>
  </si>
  <si>
    <t>Ivóvízellátás összesen</t>
  </si>
  <si>
    <t>SZENNYVÍZELVEZETÉS, TISZTÍTÁS</t>
  </si>
  <si>
    <t>1.      Szennyvíztisztító telep foszfor és nitrát eltávolítással</t>
  </si>
  <si>
    <t>2.      Szennyvízelvezető csatornahálózat</t>
  </si>
  <si>
    <t>3.      Hálózati átemelők</t>
  </si>
  <si>
    <t>Szennyvízelvezetés és -tisztítás összesen</t>
  </si>
  <si>
    <t>TÉRKÉPTÁRBÓL EREDETI TERVDOKUMENTÁCIÓRÓL
 KÉSZÜLT  MÁSOLAT KIADÁSA</t>
  </si>
  <si>
    <t>TESZOR 821911</t>
  </si>
  <si>
    <t>Sokszorosítás</t>
  </si>
  <si>
    <t>A/4</t>
  </si>
  <si>
    <t>A/3</t>
  </si>
  <si>
    <t>Díj/lap</t>
  </si>
  <si>
    <t xml:space="preserve">A víziközmű-szolgáltatásról </t>
  </si>
  <si>
    <t>3. számú melléklet</t>
  </si>
  <si>
    <t>4. számú melléklet</t>
  </si>
  <si>
    <t>5. számú melléklet</t>
  </si>
  <si>
    <t>6. számú melléklet</t>
  </si>
  <si>
    <t>6-1. számú melléklet</t>
  </si>
  <si>
    <t>7. számú melléklet</t>
  </si>
  <si>
    <t>11. számú melléklet</t>
  </si>
  <si>
    <t>12. számú melléklet</t>
  </si>
  <si>
    <t>13. számú melléklet</t>
  </si>
  <si>
    <t>16. számú melléklet</t>
  </si>
  <si>
    <t>19. számú melléklet</t>
  </si>
  <si>
    <t>20. számú melléklet</t>
  </si>
  <si>
    <t>21. számú melléklet</t>
  </si>
  <si>
    <t>23. számú melléklet</t>
  </si>
  <si>
    <t>24. számú melléklet</t>
  </si>
  <si>
    <t>25. számú melléklet</t>
  </si>
  <si>
    <t>26. számú melléklet</t>
  </si>
  <si>
    <t>27. számú melléklet</t>
  </si>
  <si>
    <t>28. számú melléklet</t>
  </si>
  <si>
    <t>29. számú melléklet</t>
  </si>
  <si>
    <t>3-1. számú melléklet</t>
  </si>
  <si>
    <t>Vízmérőcsere elfagyott vízmérő esetén, valamint a fogyasztónak felróható okból történő meghibásodás esetén</t>
  </si>
  <si>
    <t>Szakági</t>
  </si>
  <si>
    <t>Díjtételek (Ft/nyomvonal km)</t>
  </si>
  <si>
    <t>Szennyvíz</t>
  </si>
  <si>
    <t>Kivágat**</t>
  </si>
  <si>
    <t>(Ft/db)</t>
  </si>
  <si>
    <t>** Az M1:500 méretarányú nyomtatott térképekre vonatkoztatva.</t>
  </si>
  <si>
    <t>A kivágat ára a közműegyeztetési díjat nem tartalmazza.</t>
  </si>
  <si>
    <t>* belterületi részletes szakági adattartalommal</t>
  </si>
  <si>
    <t>* belterületi áttekintő szakági adattartalommal</t>
  </si>
  <si>
    <t>* külterületi állomány (sávos)</t>
  </si>
  <si>
    <t>Az árak az érvényes jogszabályok szerinti ÁFÁ-t nem tartalmazzák.</t>
  </si>
  <si>
    <t>Az idegenforgalmi adó az adott településre vonatkozó mindenkor hatályos önkormányzati rendeletben meghatározott mértékű.</t>
  </si>
  <si>
    <t>A rezsicsökkentés végrehajtásáról</t>
  </si>
  <si>
    <t>58/2013. (II.27.) Kormány rendelet</t>
  </si>
  <si>
    <t>A víziközmű-szolgáltatásról szóló 2011. évi CCIX. törvény egyes rendelkezéseinek végrehajtásáról</t>
  </si>
  <si>
    <t>A fenti árak az ÁFÁ-t nem tartalmazzák. A lakosság részére végzett szennyvízszippantás díja továbbá nem tartalmazza a szippantott szennyvízre vonatkozó rezsicsökkentésről, valamint egyes törvényeknek a további rezsicsökkentéssel összefüggő módosításáról szóló 2013. évi CXIV. törvény előírásainak megfelelő elszámolásban érvényesített 10%-os díjmérséklést.</t>
  </si>
  <si>
    <t>Oroszlány-Kisbér Vízmű Üzem</t>
  </si>
  <si>
    <t>Anyagköltség (eladási ár * 1,20)</t>
  </si>
  <si>
    <t xml:space="preserve">       felhasznált anyagok eladási ára + 20,0 % anyagigazgatási költség</t>
  </si>
  <si>
    <t>Dúcolás vízbekötéshez</t>
  </si>
  <si>
    <t>Vállalási díj</t>
  </si>
  <si>
    <t>Duna-völgyi Vízmű Üzem</t>
  </si>
  <si>
    <t>maximált nettó ár</t>
  </si>
  <si>
    <t>Állandó és változó keménység (számolás)</t>
  </si>
  <si>
    <t>Hidrogénkarbonát (számolás)</t>
  </si>
  <si>
    <t>Karbonát (számolás)</t>
  </si>
  <si>
    <t>Szilícium</t>
  </si>
  <si>
    <t>Kation egyénérték (számolás)</t>
  </si>
  <si>
    <t>Anion egyenérték (számolás)</t>
  </si>
  <si>
    <t xml:space="preserve">Összes nitrogén </t>
  </si>
  <si>
    <t>Fenolindex</t>
  </si>
  <si>
    <t>összes ásványi anyag</t>
  </si>
  <si>
    <t>Coccusszám</t>
  </si>
  <si>
    <t>Staphylococcus aureus</t>
  </si>
  <si>
    <t>Legionella meghatározása</t>
  </si>
  <si>
    <t xml:space="preserve">PAH-ok </t>
  </si>
  <si>
    <t>Peszticidek</t>
  </si>
  <si>
    <t>Összes szervesanyag (izzítási veszteség)</t>
  </si>
  <si>
    <t>Összes ásványi anyag (izzítási maradék)</t>
  </si>
  <si>
    <t>Lebegő szervesanyag (izzítási veszteség)</t>
  </si>
  <si>
    <t>Oldott ásványi anyag (izzítási maradék)</t>
  </si>
  <si>
    <t>Oldott szervesanyag (izzítási veszteség)</t>
  </si>
  <si>
    <t>Összes só (összes oldott anyag)</t>
  </si>
  <si>
    <t>Na-egyenérték (számolás)</t>
  </si>
  <si>
    <t>Mg- egyenérték (számolás)</t>
  </si>
  <si>
    <t>összes nitrogén (műszeres mérés)</t>
  </si>
  <si>
    <t>szerves és szervetlen nitrogén (számolás)</t>
  </si>
  <si>
    <t>KOI (1:10 kivonatból)</t>
  </si>
  <si>
    <t>BOI5 (1:10 kivonatból)</t>
  </si>
  <si>
    <t>Összes oldott anyag (1:10 kivonatból)</t>
  </si>
  <si>
    <t>Szulfát (1:10 kivonatból)</t>
  </si>
  <si>
    <t>Nitrát (1:10 kivonatból)</t>
  </si>
  <si>
    <t>Nitrit (1:10 kivonatból)</t>
  </si>
  <si>
    <t>Klorid (1:10 kivonatból)</t>
  </si>
  <si>
    <t>Anionaktív detergens (1:10 kivonatból)</t>
  </si>
  <si>
    <t>fluorid (1:10 kivonatból)</t>
  </si>
  <si>
    <t>alumínium</t>
  </si>
  <si>
    <t>ezüst</t>
  </si>
  <si>
    <t>stroncium</t>
  </si>
  <si>
    <t>antimon  (1:10 kivonatból)</t>
  </si>
  <si>
    <t>Fekális coliform</t>
  </si>
  <si>
    <t>PAH-ok</t>
  </si>
  <si>
    <t>1:10 vizes kivonat készítése</t>
  </si>
  <si>
    <r>
      <t>Kezelési költség (Ft/m</t>
    </r>
    <r>
      <rPr>
        <vertAlign val="superscript"/>
        <sz val="10"/>
        <rFont val="Times New Roman CE"/>
      </rPr>
      <t>3</t>
    </r>
    <r>
      <rPr>
        <sz val="11"/>
        <rFont val="Times New Roman CE"/>
      </rPr>
      <t>)</t>
    </r>
  </si>
  <si>
    <r>
      <t>Összesen (Ft/m</t>
    </r>
    <r>
      <rPr>
        <b/>
        <vertAlign val="superscript"/>
        <sz val="10"/>
        <rFont val="Times New Roman CE"/>
      </rPr>
      <t>3</t>
    </r>
    <r>
      <rPr>
        <b/>
        <sz val="11"/>
        <rFont val="Times New Roman CE"/>
      </rPr>
      <t>)</t>
    </r>
  </si>
  <si>
    <t xml:space="preserve">   100 mg/l</t>
  </si>
  <si>
    <t>A NEM KÖZMŰVEL ÖSSZEGYŰJTÖTT HÁZTARTÁSI SZENNYVÍZ ÉS FOLYÉKONY HULLADÉK FOGADÁSA, KEZELÉSE
(külső vállalkozóval történő beszállítás esetén)</t>
  </si>
  <si>
    <t>Budapesti Agglomerációs Vízmű Üzem</t>
  </si>
  <si>
    <t>TELEPÜLÉSI SZENNYVÍZ TISZTÍTÁSÁBÓL SZÁRMAZÓ ISZAP FOGADÁSA, KEZELÉSE
(Azonosító kód: 19 08 05)</t>
  </si>
  <si>
    <t>EGYÉB HULLADÉKOK FOGADÁSA, KEZELÉSE
(külső vállalkozóval történő beszállítás esetén)</t>
  </si>
  <si>
    <t>17-1. számú melléklet</t>
  </si>
  <si>
    <t>Egyéb hulladékok megnevezése</t>
  </si>
  <si>
    <t>szeszfőzés hulladéka</t>
  </si>
  <si>
    <t>fogyasztásra vagy feldolgozásra alkalmatlan anyag</t>
  </si>
  <si>
    <t>közelebbről meg nem meghatározott hulladék</t>
  </si>
  <si>
    <t>települési hulladék anaerob kezeléséből származó folyadék</t>
  </si>
  <si>
    <t>02 07 02</t>
  </si>
  <si>
    <t>02 07 04</t>
  </si>
  <si>
    <t>02 07 99</t>
  </si>
  <si>
    <t>19 06 03</t>
  </si>
  <si>
    <t>19 07 03</t>
  </si>
  <si>
    <t>Fontosabb hatályos jogszabályok jegyzéke</t>
  </si>
  <si>
    <t>Szakfelügyelet díja</t>
  </si>
  <si>
    <t>17-1.</t>
  </si>
  <si>
    <t>Vízbekötés megszüntetése véglegesen</t>
  </si>
  <si>
    <t>A nem közművel összegyűjtött háztartási szennyvíz és folyékony hulladék fogadása, kezelése</t>
  </si>
  <si>
    <t>Egyéb hulladékok fogadása, kezelése</t>
  </si>
  <si>
    <t>Jeladós Aquarius RS vízmérő esetén</t>
  </si>
  <si>
    <t>aknás</t>
  </si>
  <si>
    <t>-</t>
  </si>
  <si>
    <t>Ivóvízdiagnosztikai vizsgálat (TESZOR 712019)</t>
  </si>
  <si>
    <t>Jegyzőkönyv</t>
  </si>
  <si>
    <r>
      <t xml:space="preserve">Vízhasználat </t>
    </r>
    <r>
      <rPr>
        <sz val="8"/>
        <rFont val="Times New Roman CE"/>
        <charset val="238"/>
      </rPr>
      <t>(közterületi tűzcsap esetén)</t>
    </r>
  </si>
  <si>
    <t>Csatornakamerás vizsgálat (TESZOR 712019)</t>
  </si>
  <si>
    <t>Új beépítésű mellékvízmérő és kútvízmérő plombálása</t>
  </si>
  <si>
    <t>ÚJ BEÉPÍTÉSŰ MELLÉKVÍZMÉRŐ  ÉS KÚTVÍZMÉRŐ PLOMBÁLÁSA</t>
  </si>
  <si>
    <r>
      <t xml:space="preserve">Egyszerű vízmérő </t>
    </r>
    <r>
      <rPr>
        <sz val="11"/>
        <rFont val="Times New Roman"/>
        <family val="1"/>
        <charset val="238"/>
      </rPr>
      <t>(HE 6/1 és 6/4-2005 és MID R160-ig szerint hitelesített)</t>
    </r>
  </si>
  <si>
    <t>Egyéb költség (TESZOR 711211)</t>
  </si>
  <si>
    <t>Csatornatisztítás WOMA jármű igénybe vételével</t>
  </si>
  <si>
    <t>Kötbér</t>
  </si>
  <si>
    <t>VÍZMÉRŐCSERE ESETÉN A FOGYASZTÓNAK FELRÓHATÓ OKBÓL BEKÖVETKEZETT SZERZŐDÉSSZEGÉS ESETÉN KIVETETT KÖTBÉR</t>
  </si>
  <si>
    <t>13-1. számú melléklet</t>
  </si>
  <si>
    <t>Vízmérőcsere esetén a fogyasztónak felróható okból bekövetkezett szerződésszegés esetén kivetett kötbér</t>
  </si>
  <si>
    <t xml:space="preserve">A szerződéskötéskor fizetendő előleg 32 mm alatti mérőbeépítés esetén:              </t>
  </si>
  <si>
    <t xml:space="preserve">A szerződéskötéskor fizetendő előleg 32 mm alatti vízbekötés esetén:                   </t>
  </si>
  <si>
    <t>Munkaidőszükséglet meghatározása</t>
  </si>
  <si>
    <t xml:space="preserve"> 1 fő * 1,0 óra </t>
  </si>
  <si>
    <t xml:space="preserve"> 2 fő * 0,5 óra </t>
  </si>
  <si>
    <t xml:space="preserve"> 2 fő * 0,25 óra </t>
  </si>
  <si>
    <t xml:space="preserve"> 2 fő * 1,0 óra </t>
  </si>
  <si>
    <t xml:space="preserve"> 3,5 óra  </t>
  </si>
  <si>
    <t>Vízmérő akna szerelvényezése</t>
  </si>
  <si>
    <t>VÍZBEKÖTÉS A VÍZMÉRŐ FELSZERELÉSE NÉLKÜL</t>
  </si>
  <si>
    <t>Ft/óra*</t>
  </si>
  <si>
    <t>Mobil antenna helyekre vonatkozó bérleti szerződésekkel kapcsolatos szakfelügyeleti díj</t>
  </si>
  <si>
    <t>30. számú melléklet</t>
  </si>
  <si>
    <t>ÉJ 331212</t>
  </si>
  <si>
    <t>SZIVATTYÚ JAVÍTÁS DÍJA</t>
  </si>
  <si>
    <t>A szivattyú javítás díjának meghatározása előzetes felmérés és egyedi árajánlat alapján történik.
Az árajánlatot az alábbiak figyelembe vételével kell összeállítani:</t>
  </si>
  <si>
    <t>Eredményfedezet (az anyagmentes teljes önköltség 20,0 %-a)</t>
  </si>
  <si>
    <t>Szivattyú javítás díja</t>
  </si>
  <si>
    <t xml:space="preserve">        munkadíj + 20,0 % igazgatási költség</t>
  </si>
  <si>
    <t>Technikusi munkanap:  14.110,- Ft/nap</t>
  </si>
  <si>
    <t>Mintavétel:   Szennyvíz mintavétel több órás átlagminta esetén: 2.500,- Ft/óra + áfa</t>
  </si>
  <si>
    <t xml:space="preserve">                   Vízmintavétel 4 db minta felett: 5.000,- Ft + áfa</t>
  </si>
  <si>
    <t>DN20</t>
  </si>
  <si>
    <t>DN15</t>
  </si>
  <si>
    <t>eladási ár
[nettó Ft]</t>
  </si>
  <si>
    <t>beépítési hossz
[mm]</t>
  </si>
  <si>
    <t>átmérő
[mm]</t>
  </si>
  <si>
    <t>vízmérő</t>
  </si>
  <si>
    <t>80, 110</t>
  </si>
  <si>
    <t>VIPAK</t>
  </si>
  <si>
    <t>eladási ár
db
[nettó Ft]</t>
  </si>
  <si>
    <t>DN100</t>
  </si>
  <si>
    <t>DN80</t>
  </si>
  <si>
    <t>DN65</t>
  </si>
  <si>
    <t>DN50</t>
  </si>
  <si>
    <t>DN40</t>
  </si>
  <si>
    <t>DN30</t>
  </si>
  <si>
    <t>DN25</t>
  </si>
  <si>
    <t>Mérés-
technikai díj</t>
  </si>
  <si>
    <r>
      <t xml:space="preserve">Egyszerű vízmérő </t>
    </r>
    <r>
      <rPr>
        <sz val="11"/>
        <rFont val="Times New Roman"/>
        <family val="1"/>
        <charset val="238"/>
      </rPr>
      <t>( DN50 és R160 felett, MID szerint hitelesített)</t>
    </r>
  </si>
  <si>
    <t>Mérő típusa
DN15-DN150</t>
  </si>
  <si>
    <t>egyedi ár</t>
  </si>
  <si>
    <t>DN200/</t>
  </si>
  <si>
    <t>DN150/</t>
  </si>
  <si>
    <t>DN150</t>
  </si>
  <si>
    <t>DN100/</t>
  </si>
  <si>
    <t>DN80/</t>
  </si>
  <si>
    <t>DN65/</t>
  </si>
  <si>
    <t>DN50/</t>
  </si>
  <si>
    <t>DN32</t>
  </si>
  <si>
    <t>50 km feletti távolság esetén</t>
  </si>
  <si>
    <t>A/1</t>
  </si>
  <si>
    <t>A/0</t>
  </si>
  <si>
    <t>MegaTwister</t>
  </si>
  <si>
    <t>DN15/110</t>
  </si>
  <si>
    <t>DN15/80</t>
  </si>
  <si>
    <t>DN20/130</t>
  </si>
  <si>
    <t>DN20/190</t>
  </si>
  <si>
    <t>DN15/170</t>
  </si>
  <si>
    <t>Aknás</t>
  </si>
  <si>
    <t>Hagyományos</t>
  </si>
  <si>
    <t>Kombinált</t>
  </si>
  <si>
    <t>2013. évi V. törvény</t>
  </si>
  <si>
    <t>A  Polgári törvénykönyvéröl</t>
  </si>
  <si>
    <t>2011. évi CCIX. törvény</t>
  </si>
  <si>
    <t>2013. évi LIV. törvény</t>
  </si>
  <si>
    <t>A fenti árak az ÁFÁ-t tartalmazzák.</t>
  </si>
  <si>
    <t>MegaTWISTER</t>
  </si>
  <si>
    <t>DN40-től</t>
  </si>
  <si>
    <r>
      <t xml:space="preserve">A felhasználó a hibás fogyasztásmérő javítását, hitelesítését vagy egyéb okból történő cseréjét a közszolgáltatási szerződésben illetve az </t>
    </r>
    <r>
      <rPr>
        <i/>
        <sz val="11"/>
        <rFont val="Times New Roman"/>
        <family val="1"/>
        <charset val="238"/>
      </rPr>
      <t>Üzletszabályzatban</t>
    </r>
    <r>
      <rPr>
        <sz val="11"/>
        <rFont val="Times New Roman"/>
        <family val="1"/>
        <charset val="238"/>
      </rPr>
      <t xml:space="preserve"> előírtak szerint a víziközmű szolgáltató részére nem teszi lehetővé, akkor a víziközmű szolgáltató által érvényesíthető kötbér mértéke.</t>
    </r>
  </si>
  <si>
    <t>A megrendelésre végzett vizsgálatok kiszállási díja</t>
  </si>
  <si>
    <t xml:space="preserve">Anyagköltség (eladási ár * 1, 20) </t>
  </si>
  <si>
    <r>
      <t xml:space="preserve">Az eladási árat évente két alkalommal, a </t>
    </r>
    <r>
      <rPr>
        <b/>
        <sz val="11"/>
        <rFont val="Times New Roman CE"/>
        <charset val="238"/>
      </rPr>
      <t xml:space="preserve">február 1-jén </t>
    </r>
    <r>
      <rPr>
        <sz val="11"/>
        <rFont val="Times New Roman CE"/>
        <charset val="238"/>
      </rPr>
      <t xml:space="preserve">és az </t>
    </r>
    <r>
      <rPr>
        <b/>
        <sz val="11"/>
        <rFont val="Times New Roman CE"/>
        <charset val="238"/>
      </rPr>
      <t>augusztus 31-én</t>
    </r>
    <r>
      <rPr>
        <sz val="11"/>
        <rFont val="Times New Roman CE"/>
        <charset val="238"/>
      </rPr>
      <t xml:space="preserve"> érvényes nyilvántartási árból kell a 2. pont szerint megállapítani.</t>
    </r>
  </si>
  <si>
    <r>
      <t>Anyagköltség (4 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158 Ft/m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1,20)</t>
    </r>
  </si>
  <si>
    <r>
      <t xml:space="preserve">A vízbekötési kérelemhez csatolandó tervdokumentáció - a 58/2013 (II.27.) </t>
    </r>
    <r>
      <rPr>
        <sz val="11"/>
        <rFont val="Times New Roman CE"/>
        <charset val="238"/>
      </rPr>
      <t xml:space="preserve">Kormányrendelet melléklete - elkészítésének költsége a megrendelőt terheli. </t>
    </r>
  </si>
  <si>
    <t>DN15 és DN20</t>
  </si>
  <si>
    <r>
      <t>új</t>
    </r>
    <r>
      <rPr>
        <sz val="11"/>
        <rFont val="Times New Roman CE"/>
        <family val="1"/>
        <charset val="238"/>
      </rPr>
      <t xml:space="preserve"> vízmérő díjak:</t>
    </r>
  </si>
  <si>
    <r>
      <t>Kezelési költség (Ft/m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</si>
  <si>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kombinált</t>
  </si>
  <si>
    <t xml:space="preserve">Ha a lakásban több mellékmérőt kell egyszerre cserélni, a kiszállási díj  a második mellékmérőtől kezdve </t>
  </si>
  <si>
    <t>már nem számítható fel.</t>
  </si>
  <si>
    <t>Pontosságellenőrzés díja összesen</t>
  </si>
  <si>
    <t>Vízmérő költség (eladási ár * 1,20)</t>
  </si>
  <si>
    <t>Vízmérő (eladási ár * 1,20)</t>
  </si>
  <si>
    <t>Vízmérő ár  (eladási ár * 1,20)</t>
  </si>
  <si>
    <r>
      <t>Új</t>
    </r>
    <r>
      <rPr>
        <sz val="10"/>
        <rFont val="Times New Roman CE"/>
        <family val="1"/>
        <charset val="238"/>
      </rPr>
      <t xml:space="preserve"> vízmérő díja </t>
    </r>
    <r>
      <rPr>
        <sz val="10"/>
        <rFont val="Times New Roman CE"/>
        <charset val="238"/>
      </rPr>
      <t xml:space="preserve"> (eladási ár * 1,20)</t>
    </r>
  </si>
  <si>
    <t>Települési szennyvíz tisztításából származó iszap fogadása, kezelése</t>
  </si>
  <si>
    <t>"Műveleti idő" (óra)</t>
  </si>
  <si>
    <t xml:space="preserve">Vállalási díj </t>
  </si>
  <si>
    <t>aszfaltozás költségei az alvállalkozó számlája alapján kerül tovább számlázásra.</t>
  </si>
  <si>
    <t>ártalmatlanítás</t>
  </si>
  <si>
    <t>KOIk</t>
  </si>
  <si>
    <t>Szabad aktív klór</t>
  </si>
  <si>
    <t>Mentes a víziközmű-fejlesztési hozzájárulás alól a legfeljebb 32 mm átmérőjű ivóvízvezeték és a legfeljebb 160 mm átmérőjű szennyvízvezeték bekötése.</t>
  </si>
  <si>
    <t>hulladéklerakóból származó csurgalékvíz, amely különbözik a 19 07 02-től</t>
  </si>
  <si>
    <t>*   Digitálisan átadott csak szakági információt tartalmazó EOV rendszerű és DWG fájlformátumú állományok. Más fájlformátum állományok kiadása nem áll módunkban illeve egyedi elbírálást igényel.</t>
  </si>
  <si>
    <t>Fonyód</t>
  </si>
  <si>
    <r>
      <t xml:space="preserve">  -</t>
    </r>
    <r>
      <rPr>
        <sz val="11"/>
        <rFont val="Times New Roman CE"/>
        <charset val="238"/>
      </rPr>
      <t xml:space="preserve"> üdülésci célból</t>
    </r>
  </si>
  <si>
    <t>Síkvölgy</t>
  </si>
  <si>
    <t>A részvénytársaság saját üdülőiben történő adómentes üdültetés díját a piaci ár határozza meg. Ezen felül meg kell téríteni az idegenforgalmi adót, melyet az önkormányzatok helyi rendeletei határoznak meg.</t>
  </si>
  <si>
    <t>Ft/felnőtt/nap</t>
  </si>
  <si>
    <t xml:space="preserve">Komárom </t>
  </si>
  <si>
    <t>Ft/felnőtt/nap *</t>
  </si>
  <si>
    <t>Felnőtt: A 18. életévét betöltött személy</t>
  </si>
  <si>
    <t>A/2</t>
  </si>
  <si>
    <t>Jó árak, végigmegy a teljes vízmérőcserén</t>
  </si>
  <si>
    <t>ZENNER</t>
  </si>
  <si>
    <t>SENSUS</t>
  </si>
  <si>
    <t>** A parkolásért 410 Ft/éj/autó díjat kell fizetni a Thermál Hotel recepcióján</t>
  </si>
  <si>
    <t>DN32/260</t>
  </si>
  <si>
    <t>Egynél több mellékmérő beszerelése esetén a második mellékmérőtől kezdve a kiszállási díj már nem számítható fel.</t>
  </si>
  <si>
    <t>DN15/80
DN15/110</t>
  </si>
  <si>
    <t>Budapest Főváros Kormányhivatala (BFKH)</t>
  </si>
  <si>
    <t>1124 Budapest, Németvölgyi út 37-39.</t>
  </si>
  <si>
    <t>Mérő típusa
DN200-DN300</t>
  </si>
  <si>
    <t>Tatabánya</t>
  </si>
  <si>
    <t>Oroszlány</t>
  </si>
  <si>
    <t>MÉRŐBEÉPÍTÉS (Meglévő vízbekötés esetén, előközművesített ingatlanoknál)</t>
  </si>
  <si>
    <t>nem végez ilyen tevékenységet</t>
  </si>
  <si>
    <t>nem vállalnak ilyet</t>
  </si>
  <si>
    <t>11 000 Ft/ ó</t>
  </si>
  <si>
    <t>HASZNÁLATI MÉRŐESZKÖZ ELLENŐRZÉSE A FELHASZNÁLÓ MEGRENDELÉSE ESETÉN</t>
  </si>
  <si>
    <t>Eredményfedezet</t>
  </si>
  <si>
    <t>SOKSZOROSÍTÁS</t>
  </si>
  <si>
    <t>385 Ft/km</t>
  </si>
  <si>
    <t>273 Ft/km</t>
  </si>
  <si>
    <t>10 704 Ft/km</t>
  </si>
  <si>
    <t>7 951 Ft/ó</t>
  </si>
  <si>
    <t>Jeladós Aquarius RS vízmérő installálása esetén</t>
  </si>
  <si>
    <t>IVÓVÍZDÍJ</t>
  </si>
  <si>
    <t>Vízbázis fejlesztés közület (növekmény több, mint 0,45 m3/nap)</t>
  </si>
  <si>
    <t>Ft/m3/nap</t>
  </si>
  <si>
    <t>239 000.-</t>
  </si>
  <si>
    <t>+ ÁFA (27 %)</t>
  </si>
  <si>
    <t>Vízbázis fejlesztés közület (növekmény 0 - 0,45 m3/nap)</t>
  </si>
  <si>
    <t>Ft/lakás</t>
  </si>
  <si>
    <t>118 000.-</t>
  </si>
  <si>
    <t>Hálózatfejlesztési hozzájárulás minimum</t>
  </si>
  <si>
    <t>288 000.-</t>
  </si>
  <si>
    <t>SZENNYVÍZDÍJ</t>
  </si>
  <si>
    <t>Tisztítótelep fejlesztési hozzájárulás (növekmény több, mint 0,45 m3/nap)</t>
  </si>
  <si>
    <t>212 000.-</t>
  </si>
  <si>
    <t>Tisztítótelep fejlesztési hozzájárulás (növekmény 0 - 0,45 m3/nap)</t>
  </si>
  <si>
    <t xml:space="preserve">Ft </t>
  </si>
  <si>
    <t>106 000.-</t>
  </si>
  <si>
    <t>357 000.-</t>
  </si>
  <si>
    <t>DUNAHARASZTI VÁROS DÍJAI SZERŐDÉS SZERINT</t>
  </si>
  <si>
    <t>Amennyiben a bekötés megszüntetéséhez közúton való munkavégzés szükséges, mindkét esetben fel kell számolni a forgalomtechnikát, az esetleges forgalomelterelés, forgalomirányítás költségeit.. A közútkezelő által kiszámlázott díjakat tovább kell számlázni. Ebben az esetben 3 fővel több dolgozó szükséges.</t>
  </si>
  <si>
    <t>Vállalási díj (kiszállás) ((0,5 ó * 4 000,- Ft/ó* 1 fő)+(200 Ft * 15 km))</t>
  </si>
  <si>
    <t>Kiszállás ((0,5 ó * 4000,- Ft/ó *1 fő)+(200 Ft * 15 km))</t>
  </si>
  <si>
    <t>Bérköltség (0,5 ó * 4000,- Ft/ó *2 fő)</t>
  </si>
  <si>
    <t>Kiszállás ((0,5 ó * 4000,- Ft/ó * 1 fő)+(200 Ft * 15 km))</t>
  </si>
  <si>
    <t>Kiszállás (((0,5 ó * 4000,- Ft/ó *1 fő)+(200 Ft * 15 km))/6)</t>
  </si>
  <si>
    <t>Bérköltség (2 ó * 4000,-Ft/ó * 2 fő)</t>
  </si>
  <si>
    <t>Bérköltség (1 ó * 4000,- Ft/ó * 2 fő)</t>
  </si>
  <si>
    <t>Installálási díj (0,5 óra * 2 fő*4000 Ft)</t>
  </si>
  <si>
    <t>Bérköltség (1/1,5/2 ó * 4000,- Ft/ó*2 fő)</t>
  </si>
  <si>
    <t xml:space="preserve">        munkadíj (3 ó * 4000 Ft/ó )</t>
  </si>
  <si>
    <r>
      <t>Bérköltség (1</t>
    </r>
    <r>
      <rPr>
        <sz val="11"/>
        <color rgb="FFFF0000"/>
        <rFont val="Times New Roman CE"/>
        <charset val="238"/>
      </rPr>
      <t xml:space="preserve"> </t>
    </r>
    <r>
      <rPr>
        <sz val="11"/>
        <rFont val="Times New Roman CE"/>
        <charset val="238"/>
      </rPr>
      <t>ó * 4000,- Ft/ó * 2 fő)</t>
    </r>
  </si>
  <si>
    <t>Bérköltség (1,5 ó * 4000,- Ft/ó *2 fő)</t>
  </si>
  <si>
    <t>Bérköltség (1,5 ó * 4000,- Ft/ó * 2 fő)</t>
  </si>
  <si>
    <t>Kiszállás ((0,5 ó * 4000,- Ft/ó)+(200 Ft * 15 km))</t>
  </si>
  <si>
    <t>Bérköltség (0,5 óra*4000 Ft* 1 fő)</t>
  </si>
  <si>
    <t xml:space="preserve">        (munkadíj = munkaóra * 4000 Ft/óra)</t>
  </si>
  <si>
    <t>Bérköltség üzem (1,5 ó * 4000,-Ft/ó *2 fő)</t>
  </si>
  <si>
    <t>Bérköltség hitelesítő (1 ó * 4000,-Ft/ó * 1 fő)</t>
  </si>
  <si>
    <t>Bérköltség (1,5 ó * 4000-Ft/ó *2 fő)</t>
  </si>
  <si>
    <t>SZENNYVÍZSZOLGÁLTATÁS SZÜNETELTETÉSE</t>
  </si>
  <si>
    <t>Szennyvízszolgáltatás szüneteltetése</t>
  </si>
  <si>
    <t>Bérköltség (3 ó * 4000,- Ft/ó *3 fő)</t>
  </si>
  <si>
    <t>Munkagép üzemóra (5700 ft/ ó)</t>
  </si>
  <si>
    <t>Forgalomtechnika</t>
  </si>
  <si>
    <t>Helyreállítás anyagköltsége</t>
  </si>
  <si>
    <t>Gép bérleti díj kezelőve (4 ó * 5700,- Ft) + (4 ó *4000;- Ft)</t>
  </si>
  <si>
    <t>Közműnyilatkozatok kikérése</t>
  </si>
  <si>
    <t>Geodéziai bemérés</t>
  </si>
  <si>
    <t>286 Ft/km</t>
  </si>
  <si>
    <t>Bérköltség (2,5 ó * 4000,- Ft/ó * 2 fő)</t>
  </si>
  <si>
    <t>Órabér</t>
  </si>
  <si>
    <t>Mérnök óradíj</t>
  </si>
  <si>
    <t>Rezsi óradíj</t>
  </si>
  <si>
    <t>minden további lakás esetén csak bérköltséget és anyagköltséget számítunk fel</t>
  </si>
  <si>
    <t xml:space="preserve">Csoportos plombálás esetén a kiszállási díjat egyszer számoljuk fel, </t>
  </si>
  <si>
    <t>Tervezési díj a tervező cég számlája alapján kerül továbbszámlázásra</t>
  </si>
  <si>
    <t xml:space="preserve">Csoportos installálás esetén a kiszállási díjat egyszer számoljuk fel, </t>
  </si>
  <si>
    <t>DN25/260</t>
  </si>
  <si>
    <t>DN40/300</t>
  </si>
  <si>
    <t>A felhasználandó anyagok és szerelvények körét a "Fogyasztói vízbekötések DN15-ös és DN20-as vízmérővel" központi munkautasítás szabályozza.</t>
  </si>
  <si>
    <t>A kalkuláció az DN15 és DN20 átmérőjű vízmérőre vonatkozik, ennél nagyobb vízmérők esetén egyedi kalkuláció készül.</t>
  </si>
  <si>
    <t>1.2. Vízmérők metrológiai pontosságellenőrzése</t>
  </si>
  <si>
    <t>1.3. Vízmérők metrológiai szerkezeti vizsgálata</t>
  </si>
  <si>
    <t>VÍZMÉRŐK BFKH VIZSGÁLATÁNAK DÍJAI</t>
  </si>
  <si>
    <t xml:space="preserve">BFKH metrológiai pontosságellenőrzés </t>
  </si>
  <si>
    <t>BFKH hitelesíté-si díj</t>
  </si>
  <si>
    <t>Vízmérők BFKH metrológiai szerkezeti vizsgálata</t>
  </si>
  <si>
    <t>Hagyományos vízmérők szerkezeti vizsgálata: 8.000,- Ft + ÁFA</t>
  </si>
  <si>
    <t>Kombinált vízmérők szerkezeti vizsgálata: 25.000,- Ft + ÁFA</t>
  </si>
  <si>
    <r>
      <t>Új</t>
    </r>
    <r>
      <rPr>
        <sz val="10"/>
        <rFont val="Times New Roman CE"/>
        <family val="1"/>
        <charset val="238"/>
      </rPr>
      <t xml:space="preserve"> vízmérő díja</t>
    </r>
    <r>
      <rPr>
        <sz val="10"/>
        <rFont val="Times New Roman CE"/>
        <charset val="238"/>
      </rPr>
      <t xml:space="preserve"> (eladási ár * 1,20)</t>
    </r>
  </si>
  <si>
    <r>
      <t xml:space="preserve">Kiszállási költség
</t>
    </r>
    <r>
      <rPr>
        <sz val="8"/>
        <rFont val="Times New Roman CE"/>
        <family val="1"/>
        <charset val="238"/>
      </rPr>
      <t>(telephelytől számítva, oda-vissza távolság)</t>
    </r>
  </si>
  <si>
    <t>* az első óra 5 500 Ft, a második és minden további megkezdett óra 4 500 Ft</t>
  </si>
  <si>
    <t>Személyes közműegyeztetés esetén mérnöki óradijat számolunk el.</t>
  </si>
  <si>
    <t>13.000 Ft/ó + 27% ÁFA)</t>
  </si>
  <si>
    <t>Zöldövezetben</t>
  </si>
  <si>
    <t xml:space="preserve">DN 15/20 </t>
  </si>
  <si>
    <t>Bérköltség (4 ó * 4000,- Ft/ 2 fő)</t>
  </si>
  <si>
    <t>Szilárdburkolatos bontás</t>
  </si>
  <si>
    <t>Bérköltség (5 ó * 4000,- Ft/ 2 fő)</t>
  </si>
  <si>
    <t>Gép bérleti díj kezelőve (5 ó * 5700,- Ft) + (5 ó *4000;- Ft)</t>
  </si>
  <si>
    <t xml:space="preserve"> 1 fő * 2 óra </t>
  </si>
  <si>
    <t xml:space="preserve">6 óra </t>
  </si>
  <si>
    <t xml:space="preserve">        munkadíj a vízmérő felszerelésének díja nélkül (6 ó * 4000 Ft/ó)</t>
  </si>
  <si>
    <t>SOROS MELLÉKMÉRŐ- SOROS LOCSOLÁSI CÉLÚ MELLÉKMÉRŐ ÉS TELKI VÍZMÉRŐCSERÉK CSALÁDI HÁZBAN</t>
  </si>
  <si>
    <t>MÉRŐBEÉPÍTÉS MEGLÉVŐ VÍZBEKÖTÉS ESETÉN ELŐKÖZMŰVESÍTETT INGATLANOKNÁL</t>
  </si>
  <si>
    <t>…………….</t>
  </si>
  <si>
    <t>Vízmérő+rádió modul  költség (eladási ár * 1,20)</t>
  </si>
  <si>
    <r>
      <t>1 290 Ft/m</t>
    </r>
    <r>
      <rPr>
        <vertAlign val="superscript"/>
        <sz val="11"/>
        <rFont val="Times New Roman CE"/>
        <charset val="238"/>
      </rPr>
      <t>3</t>
    </r>
  </si>
  <si>
    <t>8.1 számú melléklet</t>
  </si>
  <si>
    <t>A kártalanítási díj tartalmazza:</t>
  </si>
  <si>
    <t>Vázrajz elkészítésének díját</t>
  </si>
  <si>
    <t>Szolgalmi jog bejegyzését</t>
  </si>
  <si>
    <t>Kártalanítási értékbecslést díját</t>
  </si>
  <si>
    <t>A harmadik Félnek fizetett kártalanítást</t>
  </si>
  <si>
    <t xml:space="preserve">Amennyiben a Fogyasztó az ingatlana ivóvízzel való ellátása és szennyvízelvezetése érdekében bekötővezetéket kíván létesíteni gerincvezetékre történő rákötéssel, úgy, hogy az érinti egy harmadik Fél tulajdonában lévő telket, úgy az ÉDV ZRT a harmadik félnek fizetett kártalanítási díja a Fogyasztóra áthárítható. </t>
  </si>
  <si>
    <t>TESZOR</t>
  </si>
  <si>
    <t>VAGYONGAZDÁLKODÁS KEZELÉSÉBEN LÉVŐ
  HELYISÉGEK BÉRLETI DÍJAI</t>
  </si>
  <si>
    <t>REZSI ÓRADÍJ, MÉRNÖK ÓRADÍJ</t>
  </si>
  <si>
    <t>Használati mérőeszköz ellenőrzése a felhasználó megrendelése esetén</t>
  </si>
  <si>
    <t>2.1 számú melléklet</t>
  </si>
  <si>
    <t>Önkormányzati díjak</t>
  </si>
  <si>
    <t>Rezsióradíj, mérnökóradíj</t>
  </si>
  <si>
    <t>A bekötési mérő ÉDV Zrt. plombájának felbontása, eltávolítása esetén az újra plombálás díja, szennyvízmennyiség-mérő és tűzcsap plombálása</t>
  </si>
  <si>
    <t>Soros mellékmérő- soros locsolási célú mellékmérő- és telki vízmérőcserék családi házban</t>
  </si>
  <si>
    <t>Mérőbeépítés meglévő vízbekötés esetén előközművesített ingatlanoknál</t>
  </si>
  <si>
    <t>14.1 számú melléklet</t>
  </si>
  <si>
    <t>Vagyongazdálkodás kezelésében lévő helyiségek bérleti díjai</t>
  </si>
  <si>
    <t>31. számú melléklet</t>
  </si>
  <si>
    <t>Ivóvíz és szennyvíz vezeték bekötésével kapcsolatos kártalanítás</t>
  </si>
  <si>
    <t>32. számú melléklet</t>
  </si>
  <si>
    <t>szivattyú javító</t>
  </si>
  <si>
    <t>Bérköltség ( 1ó * 4000,- Ft/ó *1 fő)</t>
  </si>
  <si>
    <t>Jogosultsági csoport</t>
  </si>
  <si>
    <t>Munkakör</t>
  </si>
  <si>
    <t>Munkaruha</t>
  </si>
  <si>
    <t>Mennyiség</t>
  </si>
  <si>
    <t>Kihordási idő</t>
  </si>
  <si>
    <t>Ár</t>
  </si>
  <si>
    <t>Ivóvíz-ágazati munkakörök</t>
  </si>
  <si>
    <t>J1</t>
  </si>
  <si>
    <t>csőhálózat szerelő</t>
  </si>
  <si>
    <t>munkaruha</t>
  </si>
  <si>
    <t>24hó</t>
  </si>
  <si>
    <t>csőhálózat-szer. kisegítő</t>
  </si>
  <si>
    <t>pótnadrág</t>
  </si>
  <si>
    <t>létesítményfelelős</t>
  </si>
  <si>
    <t>télikabát és meleg sapka</t>
  </si>
  <si>
    <t>30hó</t>
  </si>
  <si>
    <t>esőköpeny</t>
  </si>
  <si>
    <t>48hó</t>
  </si>
  <si>
    <t>7 700 Ft/db</t>
  </si>
  <si>
    <t>molinó alsó</t>
  </si>
  <si>
    <t>5 500FT/db</t>
  </si>
  <si>
    <t>póló</t>
  </si>
  <si>
    <t>J2</t>
  </si>
  <si>
    <t>36hó</t>
  </si>
  <si>
    <t>Vízágazati karbantartó</t>
  </si>
  <si>
    <t>bakancs</t>
  </si>
  <si>
    <t>14 900FT/pár</t>
  </si>
  <si>
    <t>7 700FT/db</t>
  </si>
  <si>
    <t>J4</t>
  </si>
  <si>
    <t>Vízágazati villanyszerelő</t>
  </si>
  <si>
    <t>J5</t>
  </si>
  <si>
    <t>Műszerész</t>
  </si>
  <si>
    <t>J8</t>
  </si>
  <si>
    <t>nehézgépkezelő</t>
  </si>
  <si>
    <t>kesztyű</t>
  </si>
  <si>
    <t>3 800 Ft/pár</t>
  </si>
  <si>
    <t>J56</t>
  </si>
  <si>
    <t>követelés -kezelő</t>
  </si>
  <si>
    <t>12hó</t>
  </si>
  <si>
    <t>J9</t>
  </si>
  <si>
    <t>vízműgépkezelő</t>
  </si>
  <si>
    <t>J11</t>
  </si>
  <si>
    <t>Vízmérőleolvasó</t>
  </si>
  <si>
    <t>cipő</t>
  </si>
  <si>
    <t>13 600FT/pár</t>
  </si>
  <si>
    <t>J15</t>
  </si>
  <si>
    <t>laboratóriumi munkatárs</t>
  </si>
  <si>
    <t>fehér köpeny</t>
  </si>
  <si>
    <t>7 100FT/db</t>
  </si>
  <si>
    <t>laboratóriumi főmunkatárs</t>
  </si>
  <si>
    <t>laboratóriumi részlegvez.</t>
  </si>
  <si>
    <t>laboratóriumi vezető</t>
  </si>
  <si>
    <t>J16</t>
  </si>
  <si>
    <t>takarító</t>
  </si>
  <si>
    <t>köpeny</t>
  </si>
  <si>
    <t>J21</t>
  </si>
  <si>
    <t>árukezelő</t>
  </si>
  <si>
    <t>raktárkezelő</t>
  </si>
  <si>
    <t>raktáros</t>
  </si>
  <si>
    <t>J31</t>
  </si>
  <si>
    <t>gondnok</t>
  </si>
  <si>
    <t>J23</t>
  </si>
  <si>
    <t>mintavételező</t>
  </si>
  <si>
    <t>művezető</t>
  </si>
  <si>
    <t>J25</t>
  </si>
  <si>
    <t>Szennyvízágazati műszaki vezető</t>
  </si>
  <si>
    <t>telepvezető</t>
  </si>
  <si>
    <t>üzemvezető</t>
  </si>
  <si>
    <t>Vízágazati műszaki vezető</t>
  </si>
  <si>
    <t>J30</t>
  </si>
  <si>
    <t>gépkocsivezető</t>
  </si>
  <si>
    <t>öltöny</t>
  </si>
  <si>
    <t>25 000FT/db</t>
  </si>
  <si>
    <t>könnyű kabát</t>
  </si>
  <si>
    <t>12 000FT/db</t>
  </si>
  <si>
    <t>J43</t>
  </si>
  <si>
    <t>hálózatdiagnosztikai mts</t>
  </si>
  <si>
    <t>hálózati ellenőr</t>
  </si>
  <si>
    <t>Szennyvíz-ágazati munkakörök</t>
  </si>
  <si>
    <t>J46</t>
  </si>
  <si>
    <t>csatornamunkás</t>
  </si>
  <si>
    <t>csatornatisztító gépkezelő</t>
  </si>
  <si>
    <t>14 900Ft/pár</t>
  </si>
  <si>
    <t>csatornatisztító gépkezelő- kisegítő</t>
  </si>
  <si>
    <t>szennyvízüzemi kezelő</t>
  </si>
  <si>
    <t>szennyvízüzemi segédkezelő</t>
  </si>
  <si>
    <t>J47</t>
  </si>
  <si>
    <t>Szennyvízágazati karbantartó</t>
  </si>
  <si>
    <t>J48</t>
  </si>
  <si>
    <t>Szennyvízágazati villanyszerelő</t>
  </si>
  <si>
    <t>Bányaüzemi munkakörök</t>
  </si>
  <si>
    <t>J52</t>
  </si>
  <si>
    <t>csatlós</t>
  </si>
  <si>
    <t>ing</t>
  </si>
  <si>
    <t>4 500FT/db</t>
  </si>
  <si>
    <t>J53</t>
  </si>
  <si>
    <t>aknász</t>
  </si>
  <si>
    <t>bányaiparos</t>
  </si>
  <si>
    <t>Bányaüzemi karbantartó</t>
  </si>
  <si>
    <t>földalatti bányaiparos</t>
  </si>
  <si>
    <t>földalatti szivattyúkezel</t>
  </si>
  <si>
    <t>szem.száll.gép-kezelő</t>
  </si>
  <si>
    <t>J54</t>
  </si>
  <si>
    <t>bányaüzemi diszpécser</t>
  </si>
  <si>
    <t>főaknász</t>
  </si>
  <si>
    <t>J55</t>
  </si>
  <si>
    <t>bányamérnök</t>
  </si>
  <si>
    <t>Bányaüzemi műszaki vezető</t>
  </si>
  <si>
    <t>Bányaüzemi üzemvezető</t>
  </si>
  <si>
    <t>fa. villamossági vezető</t>
  </si>
  <si>
    <t>bányaüzemi művezető</t>
  </si>
  <si>
    <t>24 hó</t>
  </si>
  <si>
    <t>fa.gépészeti vezető</t>
  </si>
  <si>
    <t>Bérköltség (0,5 ó * 4000,- Ft/ó 2 fő)</t>
  </si>
  <si>
    <t>Bérköltség  (0,5 óra * 4000- Ft/ó *2 fő)</t>
  </si>
  <si>
    <t>Bérköltség (1,25 ó * 4000,-Ft/ó * 2 fő)</t>
  </si>
  <si>
    <t>minden további lakás esetén csak installálási díjat számítunk fel</t>
  </si>
  <si>
    <t>Közvetlen bérköltség (1,5 ó * 4000,- Ft/ó* 2 fő)</t>
  </si>
  <si>
    <t xml:space="preserve">        munkadíj (2 ó * 4000 Ft/ó *3 fő)</t>
  </si>
  <si>
    <t xml:space="preserve">        munkadíj a vízmérő felszerelésének díja nélkül (3,5 ó * 4000 Ft/ó)</t>
  </si>
  <si>
    <t>Vízszolgáltatás csökkentése szűkítéssel, valamint a szolgáltatás visszaállítása aknában</t>
  </si>
  <si>
    <t>Szolgáltató által kiadott nyilatkozat díja</t>
  </si>
  <si>
    <t>Kiszállás (nem vízmérőcserét érintő)</t>
  </si>
  <si>
    <t>200 Ft/km</t>
  </si>
  <si>
    <t>6 894 Ft/ó</t>
  </si>
  <si>
    <t>359 Ft/km</t>
  </si>
  <si>
    <t>10 146 Ft/ó</t>
  </si>
  <si>
    <t>7 945 Ft/ó</t>
  </si>
  <si>
    <t>18 909 Ft/ó</t>
  </si>
  <si>
    <t>7 221 Ft/ó</t>
  </si>
  <si>
    <t>Az általánydíjas vízszolgáltatás szüneteltetését a fenti kalkulációk alapján végezzük</t>
  </si>
  <si>
    <t xml:space="preserve">        geodéziai bemérés</t>
  </si>
  <si>
    <t>9. számú melléklet</t>
  </si>
  <si>
    <t>* + kötbér kivetése Üzletszabályzat szerint</t>
  </si>
  <si>
    <t>500 Ft/km</t>
  </si>
  <si>
    <t>Bérköltség (1 ó * 13 000,- Ft/ó* 1 fő)</t>
  </si>
  <si>
    <t>Kiszállás ((0,5 ó * 13 000,- Ft/ó *1 fő)+(200 Ft * 15 km))</t>
  </si>
  <si>
    <t>Egyéb nyilatkozatok díjai</t>
  </si>
  <si>
    <t xml:space="preserve"> 364 Ft/km</t>
  </si>
  <si>
    <t>336 Ft/km</t>
  </si>
  <si>
    <t>EGYÉB NYILATKOZATOK DÍJAI</t>
  </si>
  <si>
    <t>10. számú melléklet</t>
  </si>
  <si>
    <t>14. számú melléklet</t>
  </si>
  <si>
    <t>22. számú melléklet</t>
  </si>
  <si>
    <t>GEODÉZIAI BEMÉRÉS DÍJA</t>
  </si>
  <si>
    <t>VÍZSZOLGÁLTATÁS SZÜNETELTETÉSE ESETÉN "VÍZLEKÖTÉS"VÍZMÉRŐ KISZERELÉSSEL, VALAMINT VÍZSZOLGÁLTATÁS VISSZAÁLLÍTÁSA (DN 15 -ös és DN 20-as vízmérő esetén)</t>
  </si>
  <si>
    <t>A BEKÖTÉSI MÉRŐ ÉDV ZRT ÁLTAL ELHELYEZETT PLOMBÁJÁNAK  FELBONTÁSA, ELTÁVOLÍTÁSA ESETÉN AZ ÚJRA PLOMBÁLÁS DÍJA, SZENNYVÍZMENNYISÉG-MÉRŐ ÉS TŰZCSAP PLOMBÁLÁSA</t>
  </si>
  <si>
    <t>IVÓVÍZ- ÉS SZENNYVÍZVEZETÉK BEKÖTÉSÉVEL KAPCSOLATOS KÁRTALANÍTÁS</t>
  </si>
  <si>
    <t>Geodéziai bemérés díja</t>
  </si>
  <si>
    <t>Egyedi kalkuláció szükséges a fenti anyagköltség, bérköltség és kiszállási díj figyelembevételével</t>
  </si>
  <si>
    <t>Csoportos plombálás esetén a kiszállási díjat egyszer számoljuk fel.</t>
  </si>
  <si>
    <t>Szakfelügyelet / mérnök/műszaki vezető</t>
  </si>
  <si>
    <t>Szakfelügyelet / műszaki munkatárs</t>
  </si>
  <si>
    <t>A szakfelügyelet biztosítási módjának - műszaki munkatársi vagy mérnöki/műszaki vezetői - meghatározása az üzemvezető hatásköre.</t>
  </si>
  <si>
    <t>33. számú melléklet</t>
  </si>
  <si>
    <t>Kártésítési díj</t>
  </si>
  <si>
    <t>Felhasználó részéről szerződésszegésnek minősül, amennyiben a Víziközmű-szolgáltatóval szemben fennálló fizetési kötelezettségének nem, vagy késedelmesen tesz eleget. Késedelmes fizetés miatt a fizetési felszólítások kiküldése kártérítési díj érvényesítését vonja maga után. A fizetési késedelem rendezése kapcsán felmerülő többletköltségek összege a Felhasználót vagy Elkülönített Vízhasználót terheli, annak folyószámláján és fizetési felszólításán ’kártérítési díj’-ként szerepel.</t>
  </si>
  <si>
    <t xml:space="preserve">Kártérítési díj mértéke: </t>
  </si>
  <si>
    <t>Kártérítés – ivóvízellátás és szennyvízelvezetés (alaptevékenység)
kiértesítések, fizetési felszólítások ajánlott küldeményként:</t>
  </si>
  <si>
    <t>A postai szolgáltató által a szolgáltatásáért felszámított díj a postai szolgáltató mindenkori árlistája alapján</t>
  </si>
  <si>
    <t>Kártérítés – ivóvízellátás és szennyvízelvezetés (alaptevékenység)
kiértesítések, fizetési felszólítások tértivevényes küldeményként:</t>
  </si>
  <si>
    <t>Kártérítés – alaptevékenységen kívüli egyéb szolgáltatás
fizetési felszólítások:</t>
  </si>
  <si>
    <t>Kártérítési díj</t>
  </si>
  <si>
    <t>* a 4 szállóvendégen felül érkezők számára a napi fürdőbelépő a helyszínen fizetendő</t>
  </si>
  <si>
    <t xml:space="preserve"> maximált nettó ár</t>
  </si>
  <si>
    <t>Coliformszám meghatározás gyorsteszttel</t>
  </si>
  <si>
    <t>Pseudomonas aeruginosa meghatározás gyorsteszttel</t>
  </si>
  <si>
    <t>Enterococcusok meghatározás gyorsteszttel</t>
  </si>
  <si>
    <t>Kiegészítő tevékenység</t>
  </si>
  <si>
    <t>----</t>
  </si>
  <si>
    <t>GE Wate and Process</t>
  </si>
  <si>
    <t>Wescast Hungary Autóipari Zrt.</t>
  </si>
  <si>
    <t>AVE Tatabánya - egyedi ár</t>
  </si>
  <si>
    <t>Ligeti tó-bányavíz egyedi víz ár</t>
  </si>
  <si>
    <t>-----</t>
  </si>
  <si>
    <t>Fejérvíz Zrt. (Oroszlány térség)</t>
  </si>
  <si>
    <t>Golf &amp; Country-Club</t>
  </si>
  <si>
    <t>Olány. Szolg. Zrt. egyedi víz ár</t>
  </si>
  <si>
    <t>Dunaharaszti intézményi víz ár/szennyvíz ár</t>
  </si>
  <si>
    <t>Coca-Cola Kft. egyedi ár</t>
  </si>
  <si>
    <t>Zwack Zrt. egyedi szennyvíz ár</t>
  </si>
  <si>
    <t>Hétforrás települések egyedi ár</t>
  </si>
  <si>
    <t>Oroszlányi 1000 m3 feletti szennyvíz ár</t>
  </si>
  <si>
    <t>Henkel Kft. egyedi szennyvíz ár</t>
  </si>
  <si>
    <t>Fiwi-Hűt Kft. egyedi szennyvíz ár</t>
  </si>
  <si>
    <t>Tokod-Területen kívüli nf. egyedi szennyvíz ár</t>
  </si>
  <si>
    <t>Cseri Strand és Élményfürdő</t>
  </si>
  <si>
    <t>Tát-Területen kívüli nf. egyedi szennyvíz ár</t>
  </si>
  <si>
    <t>Tokod-Intézményi egyedi szennyvíz ár</t>
  </si>
  <si>
    <t>Tát-Intézményi egyedi szennyvíz ár</t>
  </si>
  <si>
    <t>TYCO Electronics Kft. egyedi szennyvíz ár</t>
  </si>
  <si>
    <t>csatornadíj</t>
  </si>
  <si>
    <t>vízdíj</t>
  </si>
  <si>
    <t>A díjak ÁFA nélkül értendők (ÁFA 27%)</t>
  </si>
  <si>
    <t>450 felett</t>
  </si>
  <si>
    <t>Fővárosi VízművekZrt.</t>
  </si>
  <si>
    <t>BIRV medence/Bicske térség Vízbázis</t>
  </si>
  <si>
    <t>Fővárosi Vízművek Zrt.</t>
  </si>
  <si>
    <t>Dunaharaszti térségi vízbázis</t>
  </si>
  <si>
    <t>150 felett</t>
  </si>
  <si>
    <t>Duna Menti Regionális Vízmű Zrt.</t>
  </si>
  <si>
    <t>Dorog térségi vízbázis</t>
  </si>
  <si>
    <t>200 felett</t>
  </si>
  <si>
    <t>DAKÖV Kft.</t>
  </si>
  <si>
    <t>Bicske térségi vízbázis</t>
  </si>
  <si>
    <t>Érd és Térsége Vízmű  Kft.</t>
  </si>
  <si>
    <t>575 felett</t>
  </si>
  <si>
    <t>Fejérvíz Zrt.</t>
  </si>
  <si>
    <r>
      <t>Ft/m</t>
    </r>
    <r>
      <rPr>
        <b/>
        <i/>
        <vertAlign val="superscript"/>
        <sz val="11"/>
        <rFont val="Times New Roman CE"/>
        <charset val="238"/>
      </rPr>
      <t>3</t>
    </r>
  </si>
  <si>
    <r>
      <t xml:space="preserve">   em</t>
    </r>
    <r>
      <rPr>
        <b/>
        <i/>
        <vertAlign val="superscript"/>
        <sz val="11"/>
        <rFont val="Times New Roman CE"/>
        <charset val="238"/>
      </rPr>
      <t>3</t>
    </r>
  </si>
  <si>
    <t>díj</t>
  </si>
  <si>
    <t>vízmenny.</t>
  </si>
  <si>
    <t>Átvevő vízmű</t>
  </si>
  <si>
    <t>Átadási</t>
  </si>
  <si>
    <t xml:space="preserve"> Átadott </t>
  </si>
  <si>
    <t>Északdunántúli Vízmű Zrt.</t>
  </si>
  <si>
    <t>2.) Ivóvízátadás díja</t>
  </si>
  <si>
    <t>150-200</t>
  </si>
  <si>
    <t>65-100</t>
  </si>
  <si>
    <t>40-50</t>
  </si>
  <si>
    <t>25-32</t>
  </si>
  <si>
    <t>13-20</t>
  </si>
  <si>
    <t>Ft/m3</t>
  </si>
  <si>
    <t>Ft/hónap</t>
  </si>
  <si>
    <t>mm</t>
  </si>
  <si>
    <t xml:space="preserve">Bekötési vízmérő átmérője </t>
  </si>
  <si>
    <t>VTD</t>
  </si>
  <si>
    <t xml:space="preserve">Fogyasztási díj </t>
  </si>
  <si>
    <t>Alapdíj</t>
  </si>
  <si>
    <t>Csatorna</t>
  </si>
  <si>
    <t>60-100</t>
  </si>
  <si>
    <r>
      <t>Ft/m</t>
    </r>
    <r>
      <rPr>
        <b/>
        <vertAlign val="superscript"/>
        <sz val="11"/>
        <rFont val="Times New Roman CE"/>
        <charset val="238"/>
      </rPr>
      <t>3</t>
    </r>
  </si>
  <si>
    <t>Közületi díjak</t>
  </si>
  <si>
    <t>lakossági</t>
  </si>
  <si>
    <r>
      <t>VTD (Ft/m</t>
    </r>
    <r>
      <rPr>
        <vertAlign val="superscript"/>
        <sz val="10.5"/>
        <rFont val="Times New Roman CE"/>
        <charset val="238"/>
      </rPr>
      <t>3</t>
    </r>
    <r>
      <rPr>
        <sz val="10.5"/>
        <rFont val="Times New Roman CE"/>
        <charset val="238"/>
      </rPr>
      <t>) -csatornaszolgáltatás</t>
    </r>
  </si>
  <si>
    <t>csatorna</t>
  </si>
  <si>
    <t>ivóvíz</t>
  </si>
  <si>
    <r>
      <t>Fogyasztási díj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</si>
  <si>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Alapdíj (Ft/hónap)</t>
  </si>
  <si>
    <t>A lakossági ivóvíz - és csatornaszolgáltatáshoz kapcsolódó alapdíj függetlenül a bekötési vízmérő átmérőjétől.</t>
  </si>
  <si>
    <t>Lakossági díjak</t>
  </si>
  <si>
    <t>1.) Az állami tulajdonú közüzemi vízműből szolgáltatott ivóvízdíj, csatornamű használatáért fizetendő legmagasabb díj</t>
  </si>
  <si>
    <t>IVÓVÍZ- ÉS CSATORNADÍJAK</t>
  </si>
  <si>
    <t>2. számú melléklet</t>
  </si>
  <si>
    <t xml:space="preserve">  (ld. 2.sz. melléklet 1.pont)</t>
  </si>
  <si>
    <t xml:space="preserve">díjjal.    </t>
  </si>
  <si>
    <t xml:space="preserve">** Önkormányzat által elfogadott díj, megegyezik az állami településeken érvényben lévő kéttényezős </t>
  </si>
  <si>
    <t>állami településeken.</t>
  </si>
  <si>
    <t xml:space="preserve">*   Kéttényezős díjból a fogyasztásfüggő rész, ezenkívül átmérőtől függően alapdíjat fizetnek, mint az </t>
  </si>
  <si>
    <t>utáni időszakra.</t>
  </si>
  <si>
    <t xml:space="preserve">számlázás alapjául szolgáló mennyiséget időarányosan kell megosztani a díjváltozás előtti és </t>
  </si>
  <si>
    <t xml:space="preserve">Abban az esetben, ha a díjváltozás hatálybalépése és a fogyasztás leolvasása nem esik egybe, a </t>
  </si>
  <si>
    <t>Zsámbék</t>
  </si>
  <si>
    <t xml:space="preserve">Vértesszőlős </t>
  </si>
  <si>
    <t>Vértestolna</t>
  </si>
  <si>
    <t>Vértessomló</t>
  </si>
  <si>
    <t>Vérteskethely</t>
  </si>
  <si>
    <t>Várgesztes</t>
  </si>
  <si>
    <t>Tök</t>
  </si>
  <si>
    <t>Tokodaltáró</t>
  </si>
  <si>
    <t>Tokod-Ebszőnybánya*</t>
  </si>
  <si>
    <t>Tokod *</t>
  </si>
  <si>
    <t>Telki *</t>
  </si>
  <si>
    <t>Tát *</t>
  </si>
  <si>
    <t>Tárkány</t>
  </si>
  <si>
    <t>Tarján</t>
  </si>
  <si>
    <t>Tardos</t>
  </si>
  <si>
    <t>Szomor</t>
  </si>
  <si>
    <t>Szomód</t>
  </si>
  <si>
    <t>Szárliget</t>
  </si>
  <si>
    <t>Szákszend</t>
  </si>
  <si>
    <t>Süttő *</t>
  </si>
  <si>
    <t>Súr</t>
  </si>
  <si>
    <t>Sárisáp</t>
  </si>
  <si>
    <t>Réde</t>
  </si>
  <si>
    <t>Pilisszentlélek *</t>
  </si>
  <si>
    <t>Piliscsév</t>
  </si>
  <si>
    <t>Perbál</t>
  </si>
  <si>
    <t xml:space="preserve">Oroszlány </t>
  </si>
  <si>
    <t>Nyergesújfalu *</t>
  </si>
  <si>
    <t>Neszmély</t>
  </si>
  <si>
    <t>Naszály</t>
  </si>
  <si>
    <t>Nagysáp *</t>
  </si>
  <si>
    <t>Nagyigmánd</t>
  </si>
  <si>
    <t>Mogyorósbánya</t>
  </si>
  <si>
    <t>Mocsa</t>
  </si>
  <si>
    <t>Leányvár</t>
  </si>
  <si>
    <t>Lábatlan *</t>
  </si>
  <si>
    <t>Csatornaszolgáltatás díja</t>
  </si>
  <si>
    <t>VTD     közület</t>
  </si>
  <si>
    <t>VTD lakosság</t>
  </si>
  <si>
    <t>közületi</t>
  </si>
  <si>
    <r>
      <t>2023. évi   díj  (Ft/m</t>
    </r>
    <r>
      <rPr>
        <b/>
        <vertAlign val="superscript"/>
        <sz val="11"/>
        <rFont val="Times New Roman CE"/>
        <family val="1"/>
        <charset val="238"/>
      </rPr>
      <t>3</t>
    </r>
    <r>
      <rPr>
        <b/>
        <sz val="11"/>
        <rFont val="Times New Roman CE"/>
        <family val="1"/>
        <charset val="238"/>
      </rPr>
      <t>)</t>
    </r>
  </si>
  <si>
    <t>T e l e p ü l é s e k</t>
  </si>
  <si>
    <t xml:space="preserve">Környe </t>
  </si>
  <si>
    <t>Kömlőd</t>
  </si>
  <si>
    <t>Kocs</t>
  </si>
  <si>
    <t>Kisigmánd</t>
  </si>
  <si>
    <t xml:space="preserve">Kisbér </t>
  </si>
  <si>
    <t>Kesztölc</t>
  </si>
  <si>
    <t>Kerékteleki</t>
  </si>
  <si>
    <t>Kecskéd</t>
  </si>
  <si>
    <t>Héreg</t>
  </si>
  <si>
    <t>Gyermely</t>
  </si>
  <si>
    <t>Ete</t>
  </si>
  <si>
    <t>Epöl *</t>
  </si>
  <si>
    <t>Dunaszentmiklós</t>
  </si>
  <si>
    <t>Dunaharaszti</t>
  </si>
  <si>
    <t>Dunaalmás</t>
  </si>
  <si>
    <t>Dág</t>
  </si>
  <si>
    <t>Dad</t>
  </si>
  <si>
    <t>Csolnok</t>
  </si>
  <si>
    <t>Csép</t>
  </si>
  <si>
    <t>Császár</t>
  </si>
  <si>
    <t>Budajenő</t>
  </si>
  <si>
    <t>Bokod</t>
  </si>
  <si>
    <t xml:space="preserve">Bársonyos </t>
  </si>
  <si>
    <t>Bakonyszombathely</t>
  </si>
  <si>
    <t>Bakonysárkány</t>
  </si>
  <si>
    <t xml:space="preserve">Bakonybánk </t>
  </si>
  <si>
    <t>Bajót *</t>
  </si>
  <si>
    <t>Bajna *</t>
  </si>
  <si>
    <t>Baj **</t>
  </si>
  <si>
    <t>Bábolna</t>
  </si>
  <si>
    <t>Ászár</t>
  </si>
  <si>
    <t>Annavölgy</t>
  </si>
  <si>
    <t>Almásfüzitő</t>
  </si>
  <si>
    <t>Almásfüzitő MOL</t>
  </si>
  <si>
    <t xml:space="preserve">Ácsteszér </t>
  </si>
  <si>
    <t>Ács</t>
  </si>
  <si>
    <t>Telki**</t>
  </si>
  <si>
    <t>Pilisszentlélek**</t>
  </si>
  <si>
    <t>Naszály **</t>
  </si>
  <si>
    <t>Mocsa**</t>
  </si>
  <si>
    <t>Héreg **</t>
  </si>
  <si>
    <t>Csém</t>
  </si>
  <si>
    <t>Budajenő **</t>
  </si>
  <si>
    <t>Ácsteszér</t>
  </si>
  <si>
    <t>Ivóvízdíjak</t>
  </si>
  <si>
    <t>A díjak ÁFA nélkül értendők (ÁFA 27 %)</t>
  </si>
  <si>
    <t>4.) Az önkormányzati tulajdonú víziközművek üzemeltetéséért felszámítható ivóvíz- és csatornahasználat díjai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</si>
</sst>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#,##0\ &quot;Ft&quot;;[Red]\-#,##0\ &quot;Ft&quot;"/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_(* #,##0.00_);_(* \(#,##0.00\);_(* &quot;-&quot;??_);_(@_)"/>
    <numFmt numFmtId="166" formatCode="_(* #,##0_);_(* \(#,##0\);_(* &quot;-&quot;??_);_(@_)"/>
    <numFmt numFmtId="167" formatCode="_-* #,##0\ _F_t_-;\-* #,##0\ _F_t_-;_-* &quot;-&quot;??\ _F_t_-;_-@_-"/>
    <numFmt numFmtId="168" formatCode="_-* #,##0.0\ _F_t_-;\-* #,##0.0\ _F_t_-;_-* &quot;-&quot;??\ _F_t_-;_-@_-"/>
    <numFmt numFmtId="169" formatCode="_-* #,##0\ &quot;Ft&quot;_-;\-* #,##0\ &quot;Ft&quot;_-;_-* &quot;-&quot;??\ &quot;Ft&quot;_-;_-@_-"/>
    <numFmt numFmtId="170" formatCode="#,##0\ &quot;Ft&quot;"/>
    <numFmt numFmtId="171" formatCode="#,##0.00_ ;\-#,##0.00\ "/>
  </numFmts>
  <fonts count="8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name val="Times New Roman CE"/>
      <charset val="238"/>
    </font>
    <font>
      <sz val="11"/>
      <color indexed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sz val="10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vertAlign val="superscript"/>
      <sz val="10"/>
      <name val="Times New Roman CE"/>
      <charset val="238"/>
    </font>
    <font>
      <b/>
      <vertAlign val="superscript"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11"/>
      <color indexed="10"/>
      <name val="Times New Roman CE"/>
      <charset val="238"/>
    </font>
    <font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u/>
      <sz val="11"/>
      <name val="Times New Roman CE"/>
      <charset val="238"/>
    </font>
    <font>
      <sz val="11"/>
      <color indexed="8"/>
      <name val="Times New Roman CE"/>
      <charset val="238"/>
    </font>
    <font>
      <b/>
      <i/>
      <u/>
      <sz val="11"/>
      <name val="Times New Roman CE"/>
      <charset val="238"/>
    </font>
    <font>
      <i/>
      <sz val="11"/>
      <name val="Times New Roman"/>
      <family val="1"/>
      <charset val="238"/>
    </font>
    <font>
      <b/>
      <u/>
      <sz val="11"/>
      <name val="Times New Roman CE"/>
      <charset val="238"/>
    </font>
    <font>
      <b/>
      <sz val="11"/>
      <color indexed="10"/>
      <name val="Times New Roman CE"/>
      <charset val="238"/>
    </font>
    <font>
      <b/>
      <i/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vertAlign val="superscript"/>
      <sz val="10"/>
      <name val="Times New Roman CE"/>
      <charset val="238"/>
    </font>
    <font>
      <vertAlign val="subscript"/>
      <sz val="11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"/>
      <family val="1"/>
      <charset val="238"/>
    </font>
    <font>
      <i/>
      <u/>
      <sz val="11"/>
      <name val="Times New Roman"/>
      <family val="1"/>
      <charset val="238"/>
    </font>
    <font>
      <u/>
      <sz val="11"/>
      <name val="Times New Roman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8"/>
      <name val="Times New Roman CE"/>
      <family val="1"/>
      <charset val="238"/>
    </font>
    <font>
      <sz val="11"/>
      <name val="Arial"/>
      <family val="2"/>
      <charset val="238"/>
    </font>
    <font>
      <b/>
      <vertAlign val="superscript"/>
      <sz val="11"/>
      <name val="Times New Roman"/>
      <family val="1"/>
      <charset val="238"/>
    </font>
    <font>
      <sz val="11"/>
      <color theme="1"/>
      <name val="Times New Roman CE"/>
      <charset val="238"/>
    </font>
    <font>
      <sz val="11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Times New Roman CE"/>
    </font>
    <font>
      <sz val="11"/>
      <name val="Times New Roman CE"/>
    </font>
    <font>
      <vertAlign val="superscript"/>
      <sz val="10"/>
      <name val="Times New Roman CE"/>
    </font>
    <font>
      <b/>
      <sz val="11"/>
      <name val="Times New Roman CE"/>
    </font>
    <font>
      <b/>
      <vertAlign val="superscript"/>
      <sz val="10"/>
      <name val="Times New Roman CE"/>
    </font>
    <font>
      <sz val="11"/>
      <name val="Calibri"/>
      <family val="2"/>
      <charset val="238"/>
      <scheme val="minor"/>
    </font>
    <font>
      <sz val="8"/>
      <name val="Times New Roman CE"/>
      <charset val="238"/>
    </font>
    <font>
      <b/>
      <sz val="10"/>
      <name val="Times New Roman CE"/>
      <charset val="238"/>
    </font>
    <font>
      <strike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1"/>
      <color rgb="FF00B050"/>
      <name val="Times New Roman CE"/>
      <charset val="238"/>
    </font>
    <font>
      <sz val="11"/>
      <color rgb="FF00B050"/>
      <name val="Times New Roman CE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 CE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0070C0"/>
      <name val="Times New Roman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i/>
      <vertAlign val="superscript"/>
      <sz val="11"/>
      <name val="Times New Roman CE"/>
      <charset val="238"/>
    </font>
    <font>
      <sz val="10.5"/>
      <name val="Times New Roman CE"/>
      <charset val="238"/>
    </font>
    <font>
      <vertAlign val="superscript"/>
      <sz val="10.5"/>
      <name val="Times New Roman CE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vertAlign val="superscript"/>
      <sz val="11"/>
      <name val="Times New Roman CE"/>
      <family val="1"/>
      <charset val="238"/>
    </font>
    <font>
      <b/>
      <i/>
      <sz val="11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i/>
      <sz val="11"/>
      <color rgb="FFFF000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9" fillId="0" borderId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818">
    <xf numFmtId="0" fontId="0" fillId="0" borderId="0" xfId="0"/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/>
    <xf numFmtId="49" fontId="3" fillId="0" borderId="0" xfId="2" applyNumberFormat="1" applyFont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5" fillId="0" borderId="0" xfId="2" applyFont="1"/>
    <xf numFmtId="16" fontId="3" fillId="0" borderId="0" xfId="2" applyNumberFormat="1" applyFont="1" applyAlignment="1">
      <alignment horizontal="right" vertical="center"/>
    </xf>
    <xf numFmtId="0" fontId="10" fillId="0" borderId="0" xfId="12" applyFont="1" applyFill="1"/>
    <xf numFmtId="0" fontId="10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 wrapText="1"/>
    </xf>
    <xf numFmtId="0" fontId="12" fillId="0" borderId="0" xfId="0" applyFont="1"/>
    <xf numFmtId="0" fontId="13" fillId="0" borderId="0" xfId="3" applyFont="1" applyFill="1"/>
    <xf numFmtId="0" fontId="16" fillId="0" borderId="0" xfId="3" applyFont="1" applyFill="1"/>
    <xf numFmtId="0" fontId="13" fillId="0" borderId="0" xfId="3" applyFont="1" applyFill="1" applyAlignment="1">
      <alignment horizontal="right"/>
    </xf>
    <xf numFmtId="0" fontId="19" fillId="0" borderId="0" xfId="0" applyFont="1"/>
    <xf numFmtId="0" fontId="11" fillId="0" borderId="0" xfId="3" applyFont="1" applyAlignment="1">
      <alignment vertical="center"/>
    </xf>
    <xf numFmtId="0" fontId="13" fillId="0" borderId="0" xfId="9" applyFont="1" applyAlignment="1">
      <alignment vertical="top"/>
    </xf>
    <xf numFmtId="0" fontId="13" fillId="0" borderId="0" xfId="9" applyFont="1"/>
    <xf numFmtId="0" fontId="10" fillId="0" borderId="1" xfId="9" applyFont="1" applyBorder="1" applyAlignment="1">
      <alignment horizontal="center" vertical="center"/>
    </xf>
    <xf numFmtId="0" fontId="14" fillId="0" borderId="0" xfId="3" applyFont="1" applyAlignment="1"/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3" applyFont="1"/>
    <xf numFmtId="167" fontId="13" fillId="0" borderId="0" xfId="5" applyNumberFormat="1" applyFont="1"/>
    <xf numFmtId="0" fontId="23" fillId="0" borderId="0" xfId="3" applyFont="1" applyAlignment="1">
      <alignment horizontal="left"/>
    </xf>
    <xf numFmtId="0" fontId="13" fillId="0" borderId="15" xfId="3" applyFont="1" applyBorder="1"/>
    <xf numFmtId="167" fontId="13" fillId="0" borderId="15" xfId="5" applyNumberFormat="1" applyFont="1" applyBorder="1"/>
    <xf numFmtId="0" fontId="15" fillId="0" borderId="0" xfId="3" applyFont="1"/>
    <xf numFmtId="0" fontId="14" fillId="0" borderId="16" xfId="3" applyFont="1" applyBorder="1" applyAlignment="1">
      <alignment vertical="center"/>
    </xf>
    <xf numFmtId="167" fontId="14" fillId="0" borderId="16" xfId="5" applyNumberFormat="1" applyFont="1" applyBorder="1" applyAlignment="1">
      <alignment vertical="center"/>
    </xf>
    <xf numFmtId="167" fontId="13" fillId="0" borderId="0" xfId="5" applyNumberFormat="1" applyFont="1" applyFill="1"/>
    <xf numFmtId="0" fontId="13" fillId="0" borderId="0" xfId="10" applyFont="1"/>
    <xf numFmtId="0" fontId="13" fillId="0" borderId="0" xfId="3" applyFont="1" applyAlignment="1">
      <alignment horizontal="center"/>
    </xf>
    <xf numFmtId="167" fontId="13" fillId="0" borderId="0" xfId="5" applyNumberFormat="1" applyFont="1" applyFill="1" applyBorder="1"/>
    <xf numFmtId="167" fontId="15" fillId="0" borderId="0" xfId="5" applyNumberFormat="1" applyFont="1" applyFill="1"/>
    <xf numFmtId="167" fontId="14" fillId="0" borderId="16" xfId="5" applyNumberFormat="1" applyFont="1" applyFill="1" applyBorder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3" applyFont="1" applyBorder="1"/>
    <xf numFmtId="0" fontId="13" fillId="0" borderId="0" xfId="3" applyFont="1" applyAlignment="1">
      <alignment vertical="top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15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167" fontId="15" fillId="0" borderId="0" xfId="5" applyNumberFormat="1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167" fontId="13" fillId="0" borderId="0" xfId="5" applyNumberFormat="1" applyFont="1" applyBorder="1" applyAlignment="1">
      <alignment vertical="center"/>
    </xf>
    <xf numFmtId="0" fontId="16" fillId="0" borderId="0" xfId="3" applyFont="1"/>
    <xf numFmtId="0" fontId="14" fillId="0" borderId="0" xfId="3" applyFont="1"/>
    <xf numFmtId="0" fontId="13" fillId="0" borderId="0" xfId="3" applyFont="1" applyAlignment="1"/>
    <xf numFmtId="0" fontId="13" fillId="0" borderId="15" xfId="3" applyFont="1" applyBorder="1" applyAlignment="1">
      <alignment horizontal="left"/>
    </xf>
    <xf numFmtId="0" fontId="15" fillId="0" borderId="0" xfId="3" applyFont="1" applyAlignment="1">
      <alignment horizontal="left"/>
    </xf>
    <xf numFmtId="167" fontId="15" fillId="0" borderId="0" xfId="5" applyNumberFormat="1" applyFont="1"/>
    <xf numFmtId="0" fontId="14" fillId="0" borderId="16" xfId="3" applyFont="1" applyBorder="1" applyAlignment="1">
      <alignment horizontal="left" vertical="center"/>
    </xf>
    <xf numFmtId="0" fontId="13" fillId="0" borderId="0" xfId="9" applyFont="1" applyAlignment="1">
      <alignment vertical="center"/>
    </xf>
    <xf numFmtId="0" fontId="16" fillId="2" borderId="0" xfId="3" applyFont="1" applyFill="1" applyAlignment="1">
      <alignment horizontal="left" vertical="center"/>
    </xf>
    <xf numFmtId="0" fontId="13" fillId="2" borderId="0" xfId="3" applyFont="1" applyFill="1"/>
    <xf numFmtId="0" fontId="13" fillId="2" borderId="15" xfId="3" applyFont="1" applyFill="1" applyBorder="1"/>
    <xf numFmtId="0" fontId="14" fillId="2" borderId="16" xfId="3" applyFont="1" applyFill="1" applyBorder="1" applyAlignment="1">
      <alignment vertical="center"/>
    </xf>
    <xf numFmtId="0" fontId="13" fillId="2" borderId="0" xfId="9" applyFont="1" applyFill="1" applyAlignment="1">
      <alignment vertical="center"/>
    </xf>
    <xf numFmtId="0" fontId="15" fillId="0" borderId="0" xfId="9" applyFont="1" applyAlignment="1">
      <alignment horizontal="center" vertical="center" wrapText="1"/>
    </xf>
    <xf numFmtId="0" fontId="13" fillId="0" borderId="15" xfId="3" applyFont="1" applyFill="1" applyBorder="1"/>
    <xf numFmtId="167" fontId="24" fillId="0" borderId="0" xfId="5" applyNumberFormat="1" applyFont="1" applyFill="1"/>
    <xf numFmtId="0" fontId="14" fillId="0" borderId="16" xfId="3" applyFont="1" applyFill="1" applyBorder="1" applyAlignment="1">
      <alignment vertical="center"/>
    </xf>
    <xf numFmtId="0" fontId="13" fillId="0" borderId="15" xfId="3" applyFont="1" applyFill="1" applyBorder="1" applyAlignment="1">
      <alignment vertical="center"/>
    </xf>
    <xf numFmtId="168" fontId="14" fillId="0" borderId="0" xfId="5" applyNumberFormat="1" applyFont="1" applyAlignment="1"/>
    <xf numFmtId="0" fontId="3" fillId="0" borderId="0" xfId="3" applyFont="1" applyFill="1"/>
    <xf numFmtId="0" fontId="27" fillId="0" borderId="0" xfId="3" applyFont="1"/>
    <xf numFmtId="0" fontId="25" fillId="0" borderId="0" xfId="3" applyFont="1"/>
    <xf numFmtId="0" fontId="13" fillId="0" borderId="0" xfId="3" applyFont="1" applyAlignment="1">
      <alignment wrapText="1"/>
    </xf>
    <xf numFmtId="167" fontId="14" fillId="0" borderId="0" xfId="5" applyNumberFormat="1" applyFont="1" applyAlignment="1"/>
    <xf numFmtId="0" fontId="15" fillId="0" borderId="0" xfId="9" applyFont="1"/>
    <xf numFmtId="0" fontId="13" fillId="0" borderId="0" xfId="9" applyFont="1" applyAlignment="1">
      <alignment horizontal="center"/>
    </xf>
    <xf numFmtId="167" fontId="14" fillId="0" borderId="0" xfId="5" applyNumberFormat="1" applyFont="1" applyAlignment="1">
      <alignment horizontal="center"/>
    </xf>
    <xf numFmtId="167" fontId="24" fillId="0" borderId="0" xfId="5" applyNumberFormat="1" applyFont="1"/>
    <xf numFmtId="0" fontId="13" fillId="0" borderId="15" xfId="9" applyFont="1" applyBorder="1" applyAlignment="1">
      <alignment horizontal="center"/>
    </xf>
    <xf numFmtId="0" fontId="13" fillId="0" borderId="16" xfId="9" applyFont="1" applyBorder="1" applyAlignment="1">
      <alignment horizontal="center" vertical="center"/>
    </xf>
    <xf numFmtId="0" fontId="13" fillId="0" borderId="0" xfId="9" applyFont="1" applyBorder="1" applyAlignment="1">
      <alignment vertical="center"/>
    </xf>
    <xf numFmtId="167" fontId="13" fillId="0" borderId="0" xfId="5" applyNumberFormat="1" applyFont="1" applyAlignment="1">
      <alignment horizontal="center"/>
    </xf>
    <xf numFmtId="0" fontId="13" fillId="0" borderId="16" xfId="9" applyFont="1" applyBorder="1" applyAlignment="1">
      <alignment vertical="center"/>
    </xf>
    <xf numFmtId="0" fontId="13" fillId="0" borderId="15" xfId="9" applyFont="1" applyBorder="1"/>
    <xf numFmtId="167" fontId="13" fillId="0" borderId="15" xfId="3" applyNumberFormat="1" applyFont="1" applyBorder="1"/>
    <xf numFmtId="0" fontId="15" fillId="0" borderId="0" xfId="3" applyFont="1" applyBorder="1"/>
    <xf numFmtId="167" fontId="15" fillId="0" borderId="0" xfId="5" applyNumberFormat="1" applyFont="1" applyBorder="1"/>
    <xf numFmtId="0" fontId="15" fillId="0" borderId="0" xfId="3" applyFont="1" applyAlignment="1">
      <alignment horizontal="center"/>
    </xf>
    <xf numFmtId="0" fontId="14" fillId="0" borderId="0" xfId="3" applyFont="1" applyAlignment="1">
      <alignment vertical="top" wrapText="1"/>
    </xf>
    <xf numFmtId="0" fontId="13" fillId="0" borderId="15" xfId="10" applyFont="1" applyBorder="1"/>
    <xf numFmtId="0" fontId="13" fillId="0" borderId="16" xfId="3" applyFont="1" applyBorder="1" applyAlignment="1">
      <alignment vertical="center"/>
    </xf>
    <xf numFmtId="0" fontId="25" fillId="0" borderId="0" xfId="9" applyFont="1"/>
    <xf numFmtId="0" fontId="11" fillId="0" borderId="16" xfId="2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13" fillId="0" borderId="0" xfId="9" applyFont="1" applyFill="1" applyAlignment="1">
      <alignment vertical="center"/>
    </xf>
    <xf numFmtId="167" fontId="14" fillId="0" borderId="0" xfId="5" applyNumberFormat="1" applyFont="1" applyFill="1" applyAlignment="1">
      <alignment horizontal="center"/>
    </xf>
    <xf numFmtId="167" fontId="3" fillId="0" borderId="0" xfId="5" applyNumberFormat="1" applyFont="1" applyFill="1"/>
    <xf numFmtId="0" fontId="11" fillId="0" borderId="17" xfId="9" applyFont="1" applyFill="1" applyBorder="1" applyAlignment="1">
      <alignment horizontal="left" vertical="center"/>
    </xf>
    <xf numFmtId="0" fontId="11" fillId="0" borderId="8" xfId="9" applyFont="1" applyFill="1" applyBorder="1" applyAlignment="1">
      <alignment horizontal="left" vertical="center"/>
    </xf>
    <xf numFmtId="0" fontId="11" fillId="0" borderId="20" xfId="9" applyFont="1" applyFill="1" applyBorder="1" applyAlignment="1">
      <alignment horizontal="left" vertical="center" wrapText="1"/>
    </xf>
    <xf numFmtId="0" fontId="11" fillId="0" borderId="8" xfId="9" applyFont="1" applyFill="1" applyBorder="1" applyAlignment="1">
      <alignment horizontal="left" vertical="center" wrapText="1"/>
    </xf>
    <xf numFmtId="0" fontId="10" fillId="0" borderId="0" xfId="9" applyFont="1" applyFill="1" applyAlignment="1">
      <alignment vertical="center"/>
    </xf>
    <xf numFmtId="38" fontId="13" fillId="0" borderId="0" xfId="5" applyNumberFormat="1" applyFont="1" applyBorder="1"/>
    <xf numFmtId="38" fontId="13" fillId="0" borderId="0" xfId="5" applyNumberFormat="1" applyFont="1" applyFill="1" applyBorder="1"/>
    <xf numFmtId="38" fontId="13" fillId="0" borderId="0" xfId="3" applyNumberFormat="1" applyFont="1"/>
    <xf numFmtId="0" fontId="10" fillId="0" borderId="0" xfId="11" applyFont="1" applyFill="1"/>
    <xf numFmtId="167" fontId="13" fillId="0" borderId="15" xfId="5" applyNumberFormat="1" applyFont="1" applyBorder="1" applyAlignment="1">
      <alignment horizontal="center"/>
    </xf>
    <xf numFmtId="0" fontId="28" fillId="0" borderId="0" xfId="3" applyFont="1"/>
    <xf numFmtId="0" fontId="20" fillId="0" borderId="0" xfId="3" applyFont="1"/>
    <xf numFmtId="167" fontId="28" fillId="0" borderId="0" xfId="5" applyNumberFormat="1" applyFont="1" applyAlignment="1">
      <alignment horizontal="center"/>
    </xf>
    <xf numFmtId="167" fontId="13" fillId="0" borderId="0" xfId="5" applyNumberFormat="1" applyFont="1" applyAlignment="1">
      <alignment horizontal="left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 vertical="center"/>
    </xf>
    <xf numFmtId="0" fontId="14" fillId="0" borderId="0" xfId="3" applyFont="1" applyFill="1"/>
    <xf numFmtId="0" fontId="8" fillId="0" borderId="0" xfId="7" applyFont="1"/>
    <xf numFmtId="0" fontId="10" fillId="0" borderId="0" xfId="11" quotePrefix="1" applyFont="1" applyFill="1" applyAlignment="1">
      <alignment horizontal="left"/>
    </xf>
    <xf numFmtId="0" fontId="29" fillId="0" borderId="0" xfId="11" quotePrefix="1" applyFont="1" applyFill="1" applyAlignment="1">
      <alignment horizontal="left"/>
    </xf>
    <xf numFmtId="0" fontId="10" fillId="0" borderId="0" xfId="11" applyFont="1" applyFill="1" applyAlignment="1">
      <alignment horizontal="left"/>
    </xf>
    <xf numFmtId="0" fontId="13" fillId="0" borderId="0" xfId="3" applyFont="1" applyFill="1" applyAlignment="1">
      <alignment vertical="top"/>
    </xf>
    <xf numFmtId="0" fontId="23" fillId="0" borderId="0" xfId="3" applyFont="1"/>
    <xf numFmtId="0" fontId="10" fillId="0" borderId="0" xfId="3" applyFont="1"/>
    <xf numFmtId="0" fontId="23" fillId="0" borderId="0" xfId="3" applyFont="1" applyFill="1"/>
    <xf numFmtId="0" fontId="37" fillId="0" borderId="0" xfId="3" applyFont="1" applyFill="1"/>
    <xf numFmtId="0" fontId="39" fillId="0" borderId="0" xfId="14" applyFont="1" applyFill="1"/>
    <xf numFmtId="0" fontId="40" fillId="0" borderId="0" xfId="3" applyFont="1" applyFill="1" applyAlignment="1">
      <alignment horizontal="right" vertical="center"/>
    </xf>
    <xf numFmtId="0" fontId="26" fillId="0" borderId="0" xfId="3" applyFont="1"/>
    <xf numFmtId="0" fontId="10" fillId="0" borderId="0" xfId="3" applyFont="1" applyFill="1"/>
    <xf numFmtId="0" fontId="23" fillId="0" borderId="0" xfId="3" applyFont="1" applyAlignment="1">
      <alignment vertical="center"/>
    </xf>
    <xf numFmtId="0" fontId="10" fillId="0" borderId="0" xfId="11" applyFont="1" applyFill="1" applyAlignment="1">
      <alignment vertical="center"/>
    </xf>
    <xf numFmtId="0" fontId="13" fillId="0" borderId="0" xfId="3" applyFont="1" applyFill="1" applyAlignment="1">
      <alignment horizontal="center"/>
    </xf>
    <xf numFmtId="0" fontId="10" fillId="0" borderId="0" xfId="13" applyFont="1" applyAlignment="1">
      <alignment horizontal="justify"/>
    </xf>
    <xf numFmtId="0" fontId="41" fillId="0" borderId="0" xfId="13" applyFont="1"/>
    <xf numFmtId="0" fontId="11" fillId="0" borderId="0" xfId="13" applyFont="1" applyAlignment="1">
      <alignment horizontal="justify"/>
    </xf>
    <xf numFmtId="0" fontId="11" fillId="0" borderId="0" xfId="13" applyFont="1" applyAlignment="1">
      <alignment horizontal="center"/>
    </xf>
    <xf numFmtId="0" fontId="11" fillId="0" borderId="0" xfId="13" applyFont="1"/>
    <xf numFmtId="167" fontId="11" fillId="0" borderId="0" xfId="13" applyNumberFormat="1" applyFont="1"/>
    <xf numFmtId="0" fontId="14" fillId="0" borderId="0" xfId="3" applyFont="1" applyAlignment="1">
      <alignment horizontal="left"/>
    </xf>
    <xf numFmtId="167" fontId="14" fillId="0" borderId="0" xfId="5" applyNumberFormat="1" applyFont="1"/>
    <xf numFmtId="164" fontId="13" fillId="0" borderId="0" xfId="5" applyFont="1"/>
    <xf numFmtId="167" fontId="13" fillId="0" borderId="15" xfId="5" applyNumberFormat="1" applyFont="1" applyFill="1" applyBorder="1"/>
    <xf numFmtId="167" fontId="13" fillId="0" borderId="0" xfId="5" applyNumberFormat="1" applyFont="1" applyFill="1" applyAlignment="1">
      <alignment vertical="center"/>
    </xf>
    <xf numFmtId="167" fontId="13" fillId="0" borderId="15" xfId="5" applyNumberFormat="1" applyFont="1" applyFill="1" applyBorder="1" applyAlignment="1">
      <alignment vertical="center"/>
    </xf>
    <xf numFmtId="0" fontId="13" fillId="0" borderId="0" xfId="3" applyFont="1" applyFill="1" applyBorder="1"/>
    <xf numFmtId="0" fontId="44" fillId="0" borderId="0" xfId="9" applyFont="1"/>
    <xf numFmtId="167" fontId="14" fillId="0" borderId="0" xfId="5" applyNumberFormat="1" applyFont="1" applyFill="1" applyAlignment="1"/>
    <xf numFmtId="167" fontId="15" fillId="0" borderId="0" xfId="5" applyNumberFormat="1" applyFont="1" applyFill="1" applyAlignment="1">
      <alignment horizontal="center"/>
    </xf>
    <xf numFmtId="0" fontId="44" fillId="0" borderId="0" xfId="3" applyFont="1"/>
    <xf numFmtId="0" fontId="13" fillId="0" borderId="15" xfId="10" applyFont="1" applyFill="1" applyBorder="1"/>
    <xf numFmtId="0" fontId="36" fillId="0" borderId="0" xfId="3" applyFont="1" applyFill="1"/>
    <xf numFmtId="0" fontId="38" fillId="0" borderId="0" xfId="14" applyFont="1" applyFill="1"/>
    <xf numFmtId="167" fontId="10" fillId="0" borderId="0" xfId="5" applyNumberFormat="1" applyFont="1" applyFill="1" applyAlignment="1">
      <alignment horizontal="center"/>
    </xf>
    <xf numFmtId="167" fontId="11" fillId="0" borderId="0" xfId="5" applyNumberFormat="1" applyFont="1" applyFill="1" applyAlignment="1">
      <alignment horizontal="center"/>
    </xf>
    <xf numFmtId="0" fontId="41" fillId="0" borderId="0" xfId="13" applyFont="1" applyFill="1"/>
    <xf numFmtId="0" fontId="11" fillId="0" borderId="0" xfId="13" applyFont="1" applyFill="1" applyAlignment="1">
      <alignment horizontal="center"/>
    </xf>
    <xf numFmtId="167" fontId="13" fillId="0" borderId="0" xfId="5" applyNumberFormat="1" applyFont="1" applyFill="1" applyAlignment="1">
      <alignment horizontal="center"/>
    </xf>
    <xf numFmtId="169" fontId="14" fillId="0" borderId="0" xfId="3" applyNumberFormat="1" applyFont="1" applyFill="1"/>
    <xf numFmtId="0" fontId="13" fillId="0" borderId="21" xfId="3" applyFont="1" applyBorder="1"/>
    <xf numFmtId="0" fontId="13" fillId="0" borderId="7" xfId="3" applyFont="1" applyBorder="1"/>
    <xf numFmtId="0" fontId="13" fillId="0" borderId="6" xfId="3" applyFont="1" applyBorder="1" applyAlignment="1">
      <alignment horizontal="center"/>
    </xf>
    <xf numFmtId="0" fontId="13" fillId="0" borderId="7" xfId="3" applyFont="1" applyBorder="1" applyAlignment="1">
      <alignment wrapText="1"/>
    </xf>
    <xf numFmtId="38" fontId="13" fillId="0" borderId="6" xfId="5" applyNumberFormat="1" applyFont="1" applyFill="1" applyBorder="1" applyAlignment="1">
      <alignment horizontal="center"/>
    </xf>
    <xf numFmtId="38" fontId="13" fillId="0" borderId="7" xfId="5" applyNumberFormat="1" applyFont="1" applyFill="1" applyBorder="1" applyAlignment="1">
      <alignment horizontal="center"/>
    </xf>
    <xf numFmtId="38" fontId="13" fillId="0" borderId="0" xfId="5" applyNumberFormat="1" applyFont="1" applyFill="1" applyBorder="1" applyAlignment="1">
      <alignment horizontal="center"/>
    </xf>
    <xf numFmtId="0" fontId="13" fillId="0" borderId="6" xfId="3" applyFont="1" applyBorder="1"/>
    <xf numFmtId="0" fontId="13" fillId="0" borderId="0" xfId="3" applyFont="1" applyBorder="1" applyAlignment="1">
      <alignment wrapText="1"/>
    </xf>
    <xf numFmtId="0" fontId="13" fillId="0" borderId="21" xfId="3" applyFont="1" applyBorder="1" applyAlignment="1">
      <alignment horizontal="right"/>
    </xf>
    <xf numFmtId="167" fontId="15" fillId="0" borderId="21" xfId="5" applyNumberFormat="1" applyFont="1" applyFill="1" applyBorder="1" applyAlignment="1">
      <alignment vertical="center"/>
    </xf>
    <xf numFmtId="0" fontId="45" fillId="0" borderId="0" xfId="3" applyFont="1"/>
    <xf numFmtId="0" fontId="45" fillId="0" borderId="0" xfId="3" applyFont="1" applyFill="1"/>
    <xf numFmtId="167" fontId="13" fillId="0" borderId="21" xfId="9" applyNumberFormat="1" applyFont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67" fontId="14" fillId="0" borderId="16" xfId="9" applyNumberFormat="1" applyFont="1" applyBorder="1" applyAlignment="1">
      <alignment vertical="center"/>
    </xf>
    <xf numFmtId="0" fontId="46" fillId="0" borderId="0" xfId="0" applyFont="1"/>
    <xf numFmtId="0" fontId="13" fillId="0" borderId="0" xfId="3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3" fillId="0" borderId="0" xfId="3" applyFont="1" applyFill="1" applyAlignment="1"/>
    <xf numFmtId="167" fontId="13" fillId="0" borderId="0" xfId="20" applyNumberFormat="1" applyFont="1" applyFill="1" applyBorder="1"/>
    <xf numFmtId="167" fontId="13" fillId="0" borderId="0" xfId="20" applyNumberFormat="1" applyFont="1" applyFill="1"/>
    <xf numFmtId="0" fontId="25" fillId="0" borderId="0" xfId="3" applyFont="1" applyFill="1"/>
    <xf numFmtId="0" fontId="27" fillId="0" borderId="0" xfId="3" applyFont="1" applyFill="1"/>
    <xf numFmtId="167" fontId="14" fillId="0" borderId="0" xfId="5" applyNumberFormat="1" applyFont="1" applyBorder="1" applyAlignment="1">
      <alignment vertical="center"/>
    </xf>
    <xf numFmtId="167" fontId="15" fillId="0" borderId="0" xfId="5" applyNumberFormat="1" applyFont="1" applyFill="1" applyBorder="1" applyAlignment="1">
      <alignment vertical="center"/>
    </xf>
    <xf numFmtId="167" fontId="13" fillId="0" borderId="0" xfId="5" applyNumberFormat="1" applyFont="1" applyFill="1" applyBorder="1" applyAlignment="1">
      <alignment vertical="center"/>
    </xf>
    <xf numFmtId="0" fontId="13" fillId="0" borderId="0" xfId="3" applyFont="1" applyAlignment="1">
      <alignment horizontal="left"/>
    </xf>
    <xf numFmtId="0" fontId="47" fillId="0" borderId="0" xfId="0" applyFont="1"/>
    <xf numFmtId="0" fontId="48" fillId="0" borderId="0" xfId="3" applyFont="1"/>
    <xf numFmtId="167" fontId="48" fillId="0" borderId="0" xfId="5" applyNumberFormat="1" applyFont="1" applyFill="1" applyAlignment="1">
      <alignment horizontal="center"/>
    </xf>
    <xf numFmtId="0" fontId="48" fillId="0" borderId="15" xfId="3" applyFont="1" applyBorder="1"/>
    <xf numFmtId="167" fontId="48" fillId="0" borderId="15" xfId="5" applyNumberFormat="1" applyFont="1" applyBorder="1" applyAlignment="1">
      <alignment horizontal="center"/>
    </xf>
    <xf numFmtId="0" fontId="50" fillId="0" borderId="0" xfId="3" applyFont="1"/>
    <xf numFmtId="167" fontId="50" fillId="0" borderId="0" xfId="5" applyNumberFormat="1" applyFont="1" applyAlignment="1">
      <alignment horizontal="center"/>
    </xf>
    <xf numFmtId="0" fontId="13" fillId="0" borderId="0" xfId="5" applyNumberFormat="1" applyFont="1" applyAlignment="1">
      <alignment horizontal="right"/>
    </xf>
    <xf numFmtId="0" fontId="27" fillId="0" borderId="0" xfId="3" applyFont="1" applyAlignment="1">
      <alignment vertical="center"/>
    </xf>
    <xf numFmtId="167" fontId="14" fillId="0" borderId="0" xfId="5" applyNumberFormat="1" applyFont="1" applyAlignment="1">
      <alignment horizontal="center" vertical="center"/>
    </xf>
    <xf numFmtId="167" fontId="13" fillId="0" borderId="0" xfId="5" applyNumberFormat="1" applyFont="1" applyAlignment="1">
      <alignment horizontal="left" vertical="center"/>
    </xf>
    <xf numFmtId="0" fontId="52" fillId="0" borderId="0" xfId="0" applyFont="1" applyAlignment="1">
      <alignment vertical="center"/>
    </xf>
    <xf numFmtId="0" fontId="48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 indent="1"/>
    </xf>
    <xf numFmtId="0" fontId="13" fillId="0" borderId="15" xfId="3" applyFont="1" applyFill="1" applyBorder="1" applyAlignment="1">
      <alignment horizontal="left" vertical="center" wrapText="1"/>
    </xf>
    <xf numFmtId="0" fontId="13" fillId="0" borderId="0" xfId="3" applyFont="1" applyFill="1" applyAlignment="1">
      <alignment vertical="center"/>
    </xf>
    <xf numFmtId="0" fontId="16" fillId="0" borderId="0" xfId="3" applyFont="1" applyFill="1"/>
    <xf numFmtId="0" fontId="15" fillId="0" borderId="0" xfId="3" applyFont="1" applyFill="1" applyAlignment="1">
      <alignment vertical="center"/>
    </xf>
    <xf numFmtId="0" fontId="15" fillId="0" borderId="0" xfId="3" applyFont="1" applyFill="1"/>
    <xf numFmtId="0" fontId="13" fillId="0" borderId="0" xfId="3" applyFont="1" applyFill="1" applyAlignment="1">
      <alignment horizontal="right"/>
    </xf>
    <xf numFmtId="0" fontId="19" fillId="0" borderId="0" xfId="0" applyFont="1"/>
    <xf numFmtId="0" fontId="13" fillId="0" borderId="0" xfId="3" applyFont="1" applyFill="1" applyAlignment="1">
      <alignment horizontal="left"/>
    </xf>
    <xf numFmtId="0" fontId="0" fillId="0" borderId="0" xfId="0"/>
    <xf numFmtId="167" fontId="44" fillId="0" borderId="0" xfId="20" applyNumberFormat="1" applyFont="1" applyFill="1"/>
    <xf numFmtId="0" fontId="44" fillId="0" borderId="0" xfId="3" applyFont="1" applyFill="1"/>
    <xf numFmtId="0" fontId="52" fillId="0" borderId="0" xfId="0" applyFont="1"/>
    <xf numFmtId="0" fontId="40" fillId="0" borderId="0" xfId="3" applyFont="1" applyFill="1"/>
    <xf numFmtId="0" fontId="13" fillId="0" borderId="6" xfId="3" applyFont="1" applyFill="1" applyBorder="1" applyAlignment="1">
      <alignment horizontal="center"/>
    </xf>
    <xf numFmtId="38" fontId="3" fillId="0" borderId="0" xfId="5" applyNumberFormat="1" applyFont="1" applyFill="1" applyBorder="1"/>
    <xf numFmtId="167" fontId="44" fillId="0" borderId="0" xfId="20" applyNumberFormat="1" applyFont="1" applyFill="1" applyBorder="1"/>
    <xf numFmtId="38" fontId="13" fillId="0" borderId="0" xfId="5" applyNumberFormat="1" applyFont="1" applyFill="1" applyBorder="1" applyAlignment="1"/>
    <xf numFmtId="0" fontId="15" fillId="0" borderId="0" xfId="3" applyFont="1" applyAlignment="1">
      <alignment horizontal="left" vertical="top" wrapText="1"/>
    </xf>
    <xf numFmtId="0" fontId="25" fillId="0" borderId="0" xfId="3" applyFont="1" applyAlignment="1">
      <alignment horizontal="left" vertical="top" wrapText="1"/>
    </xf>
    <xf numFmtId="0" fontId="13" fillId="0" borderId="15" xfId="3" applyFont="1" applyBorder="1" applyAlignment="1">
      <alignment horizontal="left" vertical="top" wrapText="1"/>
    </xf>
    <xf numFmtId="49" fontId="3" fillId="0" borderId="0" xfId="2" applyNumberFormat="1" applyFont="1" applyFill="1" applyAlignment="1">
      <alignment horizontal="right" vertical="center"/>
    </xf>
    <xf numFmtId="0" fontId="3" fillId="0" borderId="0" xfId="2" applyFont="1" applyFill="1"/>
    <xf numFmtId="0" fontId="3" fillId="0" borderId="0" xfId="2" applyFont="1" applyFill="1" applyAlignment="1">
      <alignment vertical="center" wrapText="1"/>
    </xf>
    <xf numFmtId="0" fontId="15" fillId="0" borderId="0" xfId="3" applyFont="1" applyAlignment="1">
      <alignment vertical="center"/>
    </xf>
    <xf numFmtId="0" fontId="15" fillId="0" borderId="21" xfId="3" applyFont="1" applyBorder="1" applyAlignment="1">
      <alignment vertical="center"/>
    </xf>
    <xf numFmtId="167" fontId="13" fillId="2" borderId="0" xfId="5" applyNumberFormat="1" applyFont="1" applyFill="1" applyAlignment="1">
      <alignment vertical="center"/>
    </xf>
    <xf numFmtId="0" fontId="13" fillId="2" borderId="0" xfId="3" applyFont="1" applyFill="1" applyAlignment="1">
      <alignment vertical="center"/>
    </xf>
    <xf numFmtId="167" fontId="15" fillId="2" borderId="0" xfId="5" applyNumberFormat="1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3" fillId="2" borderId="15" xfId="3" applyFont="1" applyFill="1" applyBorder="1" applyAlignment="1">
      <alignment vertical="center"/>
    </xf>
    <xf numFmtId="0" fontId="15" fillId="2" borderId="21" xfId="3" applyFont="1" applyFill="1" applyBorder="1" applyAlignment="1">
      <alignment vertical="center"/>
    </xf>
    <xf numFmtId="0" fontId="13" fillId="0" borderId="0" xfId="3" applyFont="1" applyFill="1" applyAlignment="1">
      <alignment vertical="center" wrapText="1"/>
    </xf>
    <xf numFmtId="0" fontId="13" fillId="2" borderId="0" xfId="3" applyFont="1" applyFill="1" applyAlignment="1">
      <alignment horizontal="left" vertical="center"/>
    </xf>
    <xf numFmtId="0" fontId="13" fillId="2" borderId="0" xfId="9" applyFont="1" applyFill="1" applyAlignment="1">
      <alignment horizontal="right" vertical="center"/>
    </xf>
    <xf numFmtId="167" fontId="15" fillId="0" borderId="0" xfId="5" applyNumberFormat="1" applyFont="1" applyFill="1" applyAlignment="1">
      <alignment vertical="center"/>
    </xf>
    <xf numFmtId="0" fontId="31" fillId="0" borderId="0" xfId="9" applyFont="1" applyFill="1" applyAlignment="1">
      <alignment vertical="center"/>
    </xf>
    <xf numFmtId="0" fontId="10" fillId="0" borderId="0" xfId="9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10" fillId="0" borderId="0" xfId="2" quotePrefix="1" applyFont="1" applyFill="1" applyBorder="1" applyAlignment="1">
      <alignment horizontal="left" vertical="center"/>
    </xf>
    <xf numFmtId="0" fontId="21" fillId="0" borderId="0" xfId="3" applyFont="1" applyFill="1" applyAlignment="1">
      <alignment vertical="center"/>
    </xf>
    <xf numFmtId="167" fontId="14" fillId="0" borderId="0" xfId="5" applyNumberFormat="1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25" fillId="0" borderId="0" xfId="3" applyFont="1" applyFill="1" applyAlignment="1">
      <alignment vertical="center"/>
    </xf>
    <xf numFmtId="0" fontId="3" fillId="0" borderId="0" xfId="3" applyFont="1" applyFill="1" applyAlignment="1">
      <alignment vertical="center" wrapText="1"/>
    </xf>
    <xf numFmtId="0" fontId="3" fillId="0" borderId="1" xfId="9" applyFont="1" applyFill="1" applyBorder="1" applyAlignment="1">
      <alignment vertical="center"/>
    </xf>
    <xf numFmtId="167" fontId="13" fillId="0" borderId="1" xfId="9" applyNumberFormat="1" applyFont="1" applyFill="1" applyBorder="1" applyAlignment="1">
      <alignment horizontal="center" vertical="center"/>
    </xf>
    <xf numFmtId="38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167" fontId="3" fillId="0" borderId="0" xfId="5" applyNumberFormat="1" applyFont="1" applyFill="1" applyBorder="1" applyAlignment="1">
      <alignment horizontal="center" vertical="center"/>
    </xf>
    <xf numFmtId="0" fontId="26" fillId="0" borderId="0" xfId="2" applyFont="1" applyFill="1" applyAlignment="1">
      <alignment horizontal="right" vertical="center"/>
    </xf>
    <xf numFmtId="0" fontId="10" fillId="0" borderId="0" xfId="2" quotePrefix="1" applyFont="1" applyFill="1" applyAlignment="1">
      <alignment horizontal="left" vertical="center"/>
    </xf>
    <xf numFmtId="0" fontId="26" fillId="0" borderId="0" xfId="2" applyFont="1" applyFill="1" applyAlignment="1">
      <alignment vertical="center"/>
    </xf>
    <xf numFmtId="0" fontId="29" fillId="0" borderId="0" xfId="2" applyFont="1" applyFill="1" applyAlignment="1">
      <alignment vertical="center"/>
    </xf>
    <xf numFmtId="0" fontId="13" fillId="0" borderId="0" xfId="9" applyFont="1" applyFill="1" applyAlignment="1">
      <alignment horizontal="right" vertical="center"/>
    </xf>
    <xf numFmtId="0" fontId="13" fillId="0" borderId="0" xfId="9" applyFont="1" applyAlignment="1">
      <alignment horizontal="center" vertical="center"/>
    </xf>
    <xf numFmtId="0" fontId="13" fillId="0" borderId="21" xfId="9" applyFont="1" applyBorder="1" applyAlignment="1">
      <alignment horizontal="center" vertical="center"/>
    </xf>
    <xf numFmtId="0" fontId="13" fillId="0" borderId="15" xfId="9" applyFont="1" applyBorder="1" applyAlignment="1">
      <alignment horizontal="center" vertical="center"/>
    </xf>
    <xf numFmtId="0" fontId="13" fillId="0" borderId="0" xfId="3" applyFont="1" applyFill="1"/>
    <xf numFmtId="167" fontId="14" fillId="2" borderId="0" xfId="5" applyNumberFormat="1" applyFont="1" applyFill="1" applyBorder="1" applyAlignment="1">
      <alignment vertical="center"/>
    </xf>
    <xf numFmtId="167" fontId="13" fillId="0" borderId="21" xfId="3" applyNumberFormat="1" applyFont="1" applyBorder="1" applyAlignment="1">
      <alignment horizontal="center" vertical="center"/>
    </xf>
    <xf numFmtId="167" fontId="14" fillId="0" borderId="0" xfId="5" applyNumberFormat="1" applyFont="1" applyFill="1" applyBorder="1" applyAlignment="1">
      <alignment horizontal="center" vertical="center"/>
    </xf>
    <xf numFmtId="167" fontId="3" fillId="0" borderId="0" xfId="5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1" fillId="0" borderId="9" xfId="9" applyFont="1" applyFill="1" applyBorder="1" applyAlignment="1">
      <alignment horizontal="center" vertical="center" wrapText="1"/>
    </xf>
    <xf numFmtId="0" fontId="11" fillId="0" borderId="10" xfId="9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vertical="center"/>
    </xf>
    <xf numFmtId="167" fontId="10" fillId="0" borderId="1" xfId="1" applyNumberFormat="1" applyFont="1" applyBorder="1" applyAlignment="1">
      <alignment vertical="center"/>
    </xf>
    <xf numFmtId="0" fontId="14" fillId="0" borderId="0" xfId="3" applyFont="1" applyFill="1" applyAlignment="1">
      <alignment horizontal="center"/>
    </xf>
    <xf numFmtId="0" fontId="13" fillId="0" borderId="0" xfId="3" applyFont="1" applyAlignment="1">
      <alignment horizontal="left"/>
    </xf>
    <xf numFmtId="167" fontId="13" fillId="0" borderId="0" xfId="5" applyNumberFormat="1" applyFont="1" applyFill="1" applyAlignment="1">
      <alignment horizontal="right" vertical="center"/>
    </xf>
    <xf numFmtId="0" fontId="16" fillId="0" borderId="0" xfId="3" applyFont="1" applyAlignment="1">
      <alignment vertical="center"/>
    </xf>
    <xf numFmtId="0" fontId="13" fillId="0" borderId="0" xfId="10" applyFont="1" applyAlignment="1">
      <alignment vertical="center"/>
    </xf>
    <xf numFmtId="167" fontId="13" fillId="0" borderId="0" xfId="3" applyNumberFormat="1" applyFont="1" applyFill="1" applyAlignment="1">
      <alignment horizontal="center" vertical="center"/>
    </xf>
    <xf numFmtId="0" fontId="52" fillId="0" borderId="0" xfId="0" applyFont="1" applyFill="1"/>
    <xf numFmtId="0" fontId="13" fillId="0" borderId="0" xfId="3" applyFont="1" applyFill="1" applyAlignment="1">
      <alignment horizontal="left" wrapText="1"/>
    </xf>
    <xf numFmtId="0" fontId="13" fillId="0" borderId="0" xfId="9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13" fillId="0" borderId="0" xfId="9" applyFont="1" applyAlignment="1">
      <alignment horizontal="left" vertical="top"/>
    </xf>
    <xf numFmtId="0" fontId="13" fillId="0" borderId="0" xfId="3" applyFont="1" applyAlignment="1">
      <alignment horizontal="left"/>
    </xf>
    <xf numFmtId="0" fontId="10" fillId="0" borderId="0" xfId="11" applyFont="1" applyFill="1" applyAlignment="1">
      <alignment horizontal="left" vertical="center" wrapText="1"/>
    </xf>
    <xf numFmtId="0" fontId="10" fillId="0" borderId="0" xfId="11" applyFont="1" applyFill="1" applyAlignment="1">
      <alignment horizontal="right" vertical="top"/>
    </xf>
    <xf numFmtId="0" fontId="13" fillId="0" borderId="0" xfId="3" applyFont="1" applyFill="1" applyAlignment="1">
      <alignment horizontal="left" vertical="center" wrapText="1"/>
    </xf>
    <xf numFmtId="0" fontId="13" fillId="0" borderId="0" xfId="3" applyFont="1" applyAlignment="1">
      <alignment horizontal="center" vertical="top"/>
    </xf>
    <xf numFmtId="0" fontId="13" fillId="0" borderId="0" xfId="9" applyFont="1" applyAlignment="1">
      <alignment horizontal="right" vertical="center"/>
    </xf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0" fillId="0" borderId="0" xfId="0" applyFont="1"/>
    <xf numFmtId="0" fontId="13" fillId="0" borderId="1" xfId="3" applyFont="1" applyBorder="1" applyAlignment="1">
      <alignment vertical="center"/>
    </xf>
    <xf numFmtId="0" fontId="13" fillId="0" borderId="1" xfId="9" applyFont="1" applyBorder="1" applyAlignment="1">
      <alignment horizontal="center" vertical="center" wrapText="1"/>
    </xf>
    <xf numFmtId="0" fontId="13" fillId="0" borderId="1" xfId="9" applyFont="1" applyBorder="1" applyAlignment="1">
      <alignment vertical="center" wrapText="1"/>
    </xf>
    <xf numFmtId="0" fontId="13" fillId="0" borderId="1" xfId="9" applyFont="1" applyBorder="1" applyAlignment="1">
      <alignment vertical="center"/>
    </xf>
    <xf numFmtId="1" fontId="13" fillId="0" borderId="1" xfId="3" applyNumberFormat="1" applyFont="1" applyBorder="1" applyAlignment="1">
      <alignment vertical="center"/>
    </xf>
    <xf numFmtId="3" fontId="14" fillId="0" borderId="1" xfId="9" applyNumberFormat="1" applyFont="1" applyBorder="1" applyAlignment="1">
      <alignment vertical="center"/>
    </xf>
    <xf numFmtId="1" fontId="13" fillId="0" borderId="1" xfId="9" applyNumberFormat="1" applyFont="1" applyBorder="1" applyAlignment="1">
      <alignment vertical="center"/>
    </xf>
    <xf numFmtId="1" fontId="13" fillId="0" borderId="1" xfId="3" applyNumberFormat="1" applyFont="1" applyBorder="1" applyAlignment="1">
      <alignment horizontal="right" vertical="center"/>
    </xf>
    <xf numFmtId="167" fontId="13" fillId="0" borderId="0" xfId="5" applyNumberFormat="1" applyFont="1" applyFill="1" applyBorder="1" applyAlignment="1">
      <alignment horizontal="right" vertical="center"/>
    </xf>
    <xf numFmtId="1" fontId="13" fillId="0" borderId="0" xfId="9" applyNumberFormat="1" applyFont="1" applyBorder="1" applyAlignment="1">
      <alignment vertical="center"/>
    </xf>
    <xf numFmtId="3" fontId="14" fillId="0" borderId="0" xfId="9" applyNumberFormat="1" applyFont="1" applyBorder="1" applyAlignment="1">
      <alignment vertical="center"/>
    </xf>
    <xf numFmtId="168" fontId="14" fillId="0" borderId="0" xfId="5" applyNumberFormat="1" applyFont="1" applyFill="1" applyAlignment="1"/>
    <xf numFmtId="0" fontId="13" fillId="0" borderId="0" xfId="9" applyFont="1" applyFill="1"/>
    <xf numFmtId="0" fontId="14" fillId="0" borderId="0" xfId="3" applyFont="1" applyBorder="1" applyAlignment="1">
      <alignment vertical="center"/>
    </xf>
    <xf numFmtId="0" fontId="14" fillId="0" borderId="21" xfId="3" applyFont="1" applyBorder="1" applyAlignment="1">
      <alignment vertical="center"/>
    </xf>
    <xf numFmtId="167" fontId="13" fillId="0" borderId="21" xfId="5" applyNumberFormat="1" applyFont="1" applyFill="1" applyBorder="1"/>
    <xf numFmtId="0" fontId="15" fillId="0" borderId="21" xfId="3" applyFont="1" applyBorder="1"/>
    <xf numFmtId="0" fontId="14" fillId="0" borderId="0" xfId="9" applyFont="1" applyFill="1" applyAlignment="1">
      <alignment vertical="center"/>
    </xf>
    <xf numFmtId="167" fontId="13" fillId="0" borderId="0" xfId="5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vertical="center"/>
    </xf>
    <xf numFmtId="167" fontId="3" fillId="0" borderId="0" xfId="5" applyNumberFormat="1" applyFont="1" applyFill="1" applyAlignment="1">
      <alignment vertical="center"/>
    </xf>
    <xf numFmtId="167" fontId="3" fillId="0" borderId="0" xfId="3" applyNumberFormat="1" applyFont="1" applyFill="1" applyAlignment="1">
      <alignment horizontal="center" vertical="center"/>
    </xf>
    <xf numFmtId="0" fontId="3" fillId="0" borderId="1" xfId="9" applyFont="1" applyFill="1" applyBorder="1" applyAlignment="1">
      <alignment horizontal="right" vertical="center"/>
    </xf>
    <xf numFmtId="167" fontId="13" fillId="0" borderId="0" xfId="26" applyNumberFormat="1" applyFont="1"/>
    <xf numFmtId="167" fontId="13" fillId="0" borderId="15" xfId="5" applyNumberFormat="1" applyFont="1" applyFill="1" applyBorder="1" applyAlignment="1">
      <alignment horizontal="center"/>
    </xf>
    <xf numFmtId="0" fontId="13" fillId="2" borderId="1" xfId="9" applyFont="1" applyFill="1" applyBorder="1" applyAlignment="1">
      <alignment horizontal="center" vertical="center"/>
    </xf>
    <xf numFmtId="0" fontId="52" fillId="0" borderId="0" xfId="3" applyFont="1"/>
    <xf numFmtId="0" fontId="13" fillId="2" borderId="0" xfId="9" applyFont="1" applyFill="1" applyAlignment="1">
      <alignment vertical="top"/>
    </xf>
    <xf numFmtId="0" fontId="13" fillId="0" borderId="0" xfId="3" applyFont="1" applyAlignment="1">
      <alignment horizontal="left" vertical="top"/>
    </xf>
    <xf numFmtId="167" fontId="13" fillId="0" borderId="0" xfId="5" applyNumberFormat="1" applyFont="1" applyFill="1" applyAlignment="1">
      <alignment horizontal="center" vertical="center"/>
    </xf>
    <xf numFmtId="167" fontId="13" fillId="0" borderId="15" xfId="5" applyNumberFormat="1" applyFont="1" applyFill="1" applyBorder="1" applyAlignment="1">
      <alignment horizontal="center" vertical="center"/>
    </xf>
    <xf numFmtId="167" fontId="15" fillId="0" borderId="21" xfId="5" applyNumberFormat="1" applyFont="1" applyFill="1" applyBorder="1" applyAlignment="1">
      <alignment horizontal="center" vertical="center"/>
    </xf>
    <xf numFmtId="167" fontId="15" fillId="0" borderId="0" xfId="5" applyNumberFormat="1" applyFont="1" applyBorder="1" applyAlignment="1">
      <alignment horizontal="center" vertical="center"/>
    </xf>
    <xf numFmtId="167" fontId="13" fillId="0" borderId="0" xfId="5" applyNumberFormat="1" applyFont="1" applyBorder="1" applyAlignment="1">
      <alignment horizontal="center" vertical="center"/>
    </xf>
    <xf numFmtId="0" fontId="14" fillId="0" borderId="0" xfId="3" applyFont="1" applyFill="1" applyAlignment="1">
      <alignment vertical="center"/>
    </xf>
    <xf numFmtId="0" fontId="16" fillId="0" borderId="0" xfId="3" applyFont="1" applyFill="1" applyBorder="1" applyAlignment="1">
      <alignment horizontal="center" vertical="center"/>
    </xf>
    <xf numFmtId="0" fontId="22" fillId="0" borderId="0" xfId="3" applyFont="1" applyFill="1" applyAlignment="1">
      <alignment vertical="center"/>
    </xf>
    <xf numFmtId="0" fontId="9" fillId="0" borderId="0" xfId="9" applyFont="1" applyFill="1" applyBorder="1" applyAlignment="1">
      <alignment vertical="center"/>
    </xf>
    <xf numFmtId="0" fontId="9" fillId="0" borderId="0" xfId="9" applyFont="1" applyFill="1" applyAlignment="1">
      <alignment vertical="center"/>
    </xf>
    <xf numFmtId="167" fontId="9" fillId="0" borderId="0" xfId="5" applyNumberFormat="1" applyFont="1" applyFill="1" applyBorder="1" applyAlignment="1">
      <alignment vertical="center"/>
    </xf>
    <xf numFmtId="167" fontId="9" fillId="0" borderId="0" xfId="5" applyNumberFormat="1" applyFont="1" applyFill="1" applyBorder="1" applyAlignment="1">
      <alignment horizontal="center" vertical="center"/>
    </xf>
    <xf numFmtId="167" fontId="9" fillId="0" borderId="0" xfId="9" applyNumberFormat="1" applyFont="1" applyFill="1" applyAlignment="1">
      <alignment vertical="center"/>
    </xf>
    <xf numFmtId="167" fontId="22" fillId="0" borderId="0" xfId="5" applyNumberFormat="1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vertical="center"/>
    </xf>
    <xf numFmtId="0" fontId="56" fillId="0" borderId="0" xfId="3" applyFont="1" applyFill="1" applyAlignment="1">
      <alignment vertical="center"/>
    </xf>
    <xf numFmtId="167" fontId="9" fillId="0" borderId="15" xfId="5" applyNumberFormat="1" applyFont="1" applyFill="1" applyBorder="1" applyAlignment="1">
      <alignment vertical="center"/>
    </xf>
    <xf numFmtId="0" fontId="22" fillId="0" borderId="0" xfId="9" applyFont="1" applyFill="1" applyAlignment="1">
      <alignment vertical="center"/>
    </xf>
    <xf numFmtId="167" fontId="9" fillId="0" borderId="0" xfId="3" applyNumberFormat="1" applyFont="1" applyFill="1" applyBorder="1" applyAlignment="1">
      <alignment horizontal="center" vertical="center"/>
    </xf>
    <xf numFmtId="0" fontId="58" fillId="0" borderId="0" xfId="2" quotePrefix="1" applyFont="1" applyFill="1" applyBorder="1" applyAlignment="1">
      <alignment horizontal="left" vertical="center"/>
    </xf>
    <xf numFmtId="167" fontId="22" fillId="0" borderId="0" xfId="5" applyNumberFormat="1" applyFont="1" applyFill="1" applyAlignment="1">
      <alignment horizontal="center" vertical="center"/>
    </xf>
    <xf numFmtId="0" fontId="54" fillId="0" borderId="16" xfId="3" applyFont="1" applyFill="1" applyBorder="1" applyAlignment="1">
      <alignment vertical="center"/>
    </xf>
    <xf numFmtId="0" fontId="19" fillId="0" borderId="0" xfId="0" applyFont="1" applyAlignment="1">
      <alignment horizontal="center" vertical="top"/>
    </xf>
    <xf numFmtId="0" fontId="9" fillId="0" borderId="0" xfId="9" applyFont="1" applyFill="1" applyBorder="1" applyAlignment="1">
      <alignment horizontal="center"/>
    </xf>
    <xf numFmtId="0" fontId="57" fillId="0" borderId="0" xfId="3" applyFont="1" applyFill="1" applyBorder="1" applyAlignment="1">
      <alignment horizontal="center" vertical="center"/>
    </xf>
    <xf numFmtId="167" fontId="9" fillId="0" borderId="15" xfId="5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66" fontId="11" fillId="0" borderId="1" xfId="6" applyNumberFormat="1" applyFont="1" applyBorder="1" applyAlignment="1">
      <alignment horizontal="center" vertical="center"/>
    </xf>
    <xf numFmtId="0" fontId="19" fillId="0" borderId="0" xfId="0" applyFont="1" applyBorder="1"/>
    <xf numFmtId="0" fontId="10" fillId="0" borderId="1" xfId="2" applyFont="1" applyBorder="1" applyAlignment="1">
      <alignment horizontal="left" vertical="center"/>
    </xf>
    <xf numFmtId="0" fontId="3" fillId="0" borderId="0" xfId="3" applyFont="1" applyFill="1" applyAlignment="1">
      <alignment horizontal="left" vertical="center" wrapText="1"/>
    </xf>
    <xf numFmtId="0" fontId="30" fillId="0" borderId="0" xfId="9" applyFont="1" applyFill="1" applyAlignment="1">
      <alignment horizontal="left" vertical="center"/>
    </xf>
    <xf numFmtId="0" fontId="30" fillId="0" borderId="0" xfId="9" applyFont="1" applyFill="1" applyAlignment="1">
      <alignment vertical="center"/>
    </xf>
    <xf numFmtId="0" fontId="14" fillId="2" borderId="0" xfId="3" applyFont="1" applyFill="1" applyAlignment="1">
      <alignment vertical="center"/>
    </xf>
    <xf numFmtId="167" fontId="13" fillId="0" borderId="0" xfId="20" applyNumberFormat="1" applyFont="1" applyFill="1" applyAlignment="1">
      <alignment horizontal="left"/>
    </xf>
    <xf numFmtId="0" fontId="60" fillId="0" borderId="0" xfId="3" applyFont="1"/>
    <xf numFmtId="0" fontId="60" fillId="0" borderId="0" xfId="9" applyFont="1"/>
    <xf numFmtId="0" fontId="60" fillId="0" borderId="0" xfId="9" applyFont="1" applyAlignment="1">
      <alignment vertical="center"/>
    </xf>
    <xf numFmtId="167" fontId="60" fillId="2" borderId="0" xfId="5" applyNumberFormat="1" applyFont="1" applyFill="1" applyAlignment="1">
      <alignment vertical="center"/>
    </xf>
    <xf numFmtId="0" fontId="60" fillId="2" borderId="0" xfId="9" applyFont="1" applyFill="1" applyAlignment="1">
      <alignment vertical="center"/>
    </xf>
    <xf numFmtId="0" fontId="60" fillId="0" borderId="0" xfId="3" applyFont="1" applyAlignment="1">
      <alignment horizontal="center" vertical="center"/>
    </xf>
    <xf numFmtId="0" fontId="60" fillId="0" borderId="0" xfId="3" applyFont="1" applyAlignment="1">
      <alignment vertical="center"/>
    </xf>
    <xf numFmtId="167" fontId="59" fillId="0" borderId="0" xfId="5" applyNumberFormat="1" applyFont="1" applyAlignment="1"/>
    <xf numFmtId="167" fontId="3" fillId="2" borderId="0" xfId="5" applyNumberFormat="1" applyFont="1" applyFill="1" applyAlignment="1">
      <alignment vertical="center"/>
    </xf>
    <xf numFmtId="167" fontId="3" fillId="0" borderId="15" xfId="5" applyNumberFormat="1" applyFont="1" applyFill="1" applyBorder="1"/>
    <xf numFmtId="0" fontId="3" fillId="0" borderId="0" xfId="3" applyFont="1"/>
    <xf numFmtId="167" fontId="3" fillId="0" borderId="21" xfId="3" applyNumberFormat="1" applyFont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3" fillId="0" borderId="0" xfId="3" applyFont="1" applyFill="1" applyBorder="1" applyAlignment="1">
      <alignment horizontal="center" vertical="center"/>
    </xf>
    <xf numFmtId="0" fontId="11" fillId="0" borderId="0" xfId="9" applyFont="1" applyFill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22" fillId="0" borderId="0" xfId="3" applyFont="1" applyFill="1" applyAlignment="1">
      <alignment horizontal="left" vertical="center" wrapText="1"/>
    </xf>
    <xf numFmtId="0" fontId="44" fillId="0" borderId="0" xfId="3" applyFont="1" applyAlignment="1">
      <alignment vertical="center"/>
    </xf>
    <xf numFmtId="167" fontId="44" fillId="0" borderId="0" xfId="5" applyNumberFormat="1" applyFont="1" applyFill="1" applyBorder="1" applyAlignment="1">
      <alignment vertical="center"/>
    </xf>
    <xf numFmtId="0" fontId="44" fillId="0" borderId="0" xfId="9" applyFont="1" applyFill="1" applyAlignment="1">
      <alignment vertical="center"/>
    </xf>
    <xf numFmtId="0" fontId="44" fillId="0" borderId="0" xfId="9" applyFont="1" applyFill="1" applyBorder="1" applyAlignment="1">
      <alignment vertical="center"/>
    </xf>
    <xf numFmtId="1" fontId="44" fillId="0" borderId="0" xfId="9" applyNumberFormat="1" applyFont="1" applyFill="1" applyBorder="1" applyAlignment="1">
      <alignment vertical="center"/>
    </xf>
    <xf numFmtId="3" fontId="45" fillId="0" borderId="0" xfId="9" applyNumberFormat="1" applyFont="1" applyFill="1" applyBorder="1" applyAlignment="1">
      <alignment vertical="center"/>
    </xf>
    <xf numFmtId="0" fontId="45" fillId="0" borderId="0" xfId="9" applyFont="1" applyAlignment="1">
      <alignment vertical="center"/>
    </xf>
    <xf numFmtId="0" fontId="44" fillId="0" borderId="0" xfId="9" applyFont="1" applyAlignment="1">
      <alignment vertical="center"/>
    </xf>
    <xf numFmtId="3" fontId="61" fillId="0" borderId="1" xfId="9" applyNumberFormat="1" applyFont="1" applyFill="1" applyBorder="1" applyAlignment="1">
      <alignment vertical="center"/>
    </xf>
    <xf numFmtId="0" fontId="61" fillId="0" borderId="1" xfId="9" applyFont="1" applyFill="1" applyBorder="1" applyAlignment="1">
      <alignment vertical="center"/>
    </xf>
    <xf numFmtId="0" fontId="62" fillId="0" borderId="0" xfId="9" applyFont="1" applyFill="1" applyAlignment="1">
      <alignment horizontal="center" vertical="center"/>
    </xf>
    <xf numFmtId="167" fontId="44" fillId="0" borderId="0" xfId="5" applyNumberFormat="1" applyFont="1" applyFill="1" applyBorder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15" fillId="0" borderId="0" xfId="9" applyFont="1" applyBorder="1" applyAlignment="1">
      <alignment horizontal="center" vertical="center" wrapText="1"/>
    </xf>
    <xf numFmtId="167" fontId="13" fillId="0" borderId="0" xfId="5" applyNumberFormat="1" applyFont="1" applyFill="1" applyBorder="1" applyAlignment="1">
      <alignment horizontal="right" vertical="center" wrapText="1"/>
    </xf>
    <xf numFmtId="0" fontId="3" fillId="0" borderId="0" xfId="3" applyFont="1" applyFill="1" applyAlignment="1">
      <alignment horizontal="center" vertical="center" wrapText="1"/>
    </xf>
    <xf numFmtId="0" fontId="62" fillId="0" borderId="1" xfId="9" applyFont="1" applyBorder="1" applyAlignment="1">
      <alignment horizontal="center" vertical="center"/>
    </xf>
    <xf numFmtId="0" fontId="0" fillId="0" borderId="0" xfId="0" applyFill="1"/>
    <xf numFmtId="0" fontId="11" fillId="0" borderId="2" xfId="9" applyFont="1" applyBorder="1" applyAlignment="1">
      <alignment horizontal="center" vertical="center"/>
    </xf>
    <xf numFmtId="0" fontId="10" fillId="0" borderId="2" xfId="9" applyFont="1" applyBorder="1" applyAlignment="1">
      <alignment horizontal="left" vertical="center" wrapText="1"/>
    </xf>
    <xf numFmtId="0" fontId="10" fillId="0" borderId="2" xfId="9" applyFont="1" applyFill="1" applyBorder="1" applyAlignment="1">
      <alignment horizontal="left" vertical="center" wrapText="1"/>
    </xf>
    <xf numFmtId="0" fontId="11" fillId="0" borderId="17" xfId="9" applyFont="1" applyBorder="1" applyAlignment="1">
      <alignment horizontal="center" vertical="center" wrapText="1"/>
    </xf>
    <xf numFmtId="0" fontId="11" fillId="0" borderId="18" xfId="9" applyFont="1" applyBorder="1" applyAlignment="1">
      <alignment horizontal="center" vertical="center" wrapText="1"/>
    </xf>
    <xf numFmtId="0" fontId="11" fillId="0" borderId="19" xfId="9" applyFont="1" applyBorder="1" applyAlignment="1">
      <alignment horizontal="center" vertical="center" wrapText="1"/>
    </xf>
    <xf numFmtId="0" fontId="10" fillId="0" borderId="27" xfId="9" applyFont="1" applyBorder="1" applyAlignment="1">
      <alignment horizontal="center" vertical="center"/>
    </xf>
    <xf numFmtId="0" fontId="10" fillId="0" borderId="28" xfId="9" applyFont="1" applyBorder="1" applyAlignment="1">
      <alignment horizontal="center" vertical="center"/>
    </xf>
    <xf numFmtId="0" fontId="11" fillId="0" borderId="17" xfId="9" applyFont="1" applyFill="1" applyBorder="1" applyAlignment="1">
      <alignment horizontal="center" vertical="center" wrapText="1"/>
    </xf>
    <xf numFmtId="0" fontId="10" fillId="0" borderId="27" xfId="9" applyFont="1" applyFill="1" applyBorder="1" applyAlignment="1">
      <alignment horizontal="center" vertical="center"/>
    </xf>
    <xf numFmtId="0" fontId="10" fillId="0" borderId="14" xfId="9" applyFont="1" applyFill="1" applyBorder="1" applyAlignment="1">
      <alignment horizontal="center" vertical="center"/>
    </xf>
    <xf numFmtId="0" fontId="10" fillId="0" borderId="29" xfId="9" applyFont="1" applyFill="1" applyBorder="1" applyAlignment="1">
      <alignment horizontal="center" vertical="center"/>
    </xf>
    <xf numFmtId="0" fontId="10" fillId="0" borderId="13" xfId="9" applyFont="1" applyFill="1" applyBorder="1" applyAlignment="1">
      <alignment horizontal="center" vertical="center"/>
    </xf>
    <xf numFmtId="0" fontId="62" fillId="0" borderId="27" xfId="9" applyFont="1" applyFill="1" applyBorder="1" applyAlignment="1">
      <alignment horizontal="center" vertical="center"/>
    </xf>
    <xf numFmtId="0" fontId="62" fillId="0" borderId="28" xfId="9" applyFont="1" applyBorder="1" applyAlignment="1">
      <alignment horizontal="center" vertical="center"/>
    </xf>
    <xf numFmtId="0" fontId="52" fillId="0" borderId="23" xfId="0" applyFont="1" applyFill="1" applyBorder="1"/>
    <xf numFmtId="0" fontId="52" fillId="0" borderId="32" xfId="0" applyFont="1" applyBorder="1"/>
    <xf numFmtId="0" fontId="10" fillId="0" borderId="10" xfId="9" applyFont="1" applyFill="1" applyBorder="1" applyAlignment="1">
      <alignment horizontal="center" vertical="center"/>
    </xf>
    <xf numFmtId="0" fontId="10" fillId="0" borderId="14" xfId="9" applyFont="1" applyBorder="1" applyAlignment="1">
      <alignment horizontal="center" vertical="center"/>
    </xf>
    <xf numFmtId="0" fontId="10" fillId="0" borderId="29" xfId="9" applyFont="1" applyBorder="1" applyAlignment="1">
      <alignment horizontal="center" vertical="center"/>
    </xf>
    <xf numFmtId="0" fontId="10" fillId="0" borderId="13" xfId="9" applyFont="1" applyBorder="1" applyAlignment="1">
      <alignment horizontal="center" vertical="center"/>
    </xf>
    <xf numFmtId="38" fontId="44" fillId="0" borderId="0" xfId="5" applyNumberFormat="1" applyFont="1" applyBorder="1"/>
    <xf numFmtId="38" fontId="55" fillId="0" borderId="0" xfId="5" applyNumberFormat="1" applyFont="1" applyFill="1" applyBorder="1"/>
    <xf numFmtId="0" fontId="55" fillId="0" borderId="0" xfId="3" applyFont="1"/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Border="1" applyAlignment="1">
      <alignment horizontal="left"/>
    </xf>
    <xf numFmtId="167" fontId="13" fillId="0" borderId="0" xfId="5" applyNumberFormat="1" applyFont="1" applyBorder="1"/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0" fillId="0" borderId="0" xfId="11" applyFont="1" applyFill="1" applyAlignment="1">
      <alignment horizontal="center" vertical="center" wrapText="1"/>
    </xf>
    <xf numFmtId="0" fontId="10" fillId="0" borderId="0" xfId="0" applyFont="1" applyFill="1"/>
    <xf numFmtId="0" fontId="3" fillId="0" borderId="0" xfId="3" applyFont="1" applyFill="1" applyAlignment="1">
      <alignment vertical="center" wrapText="1"/>
    </xf>
    <xf numFmtId="38" fontId="10" fillId="0" borderId="0" xfId="5" applyNumberFormat="1" applyFont="1" applyFill="1" applyBorder="1"/>
    <xf numFmtId="0" fontId="19" fillId="0" borderId="15" xfId="0" applyFont="1" applyBorder="1"/>
    <xf numFmtId="38" fontId="10" fillId="0" borderId="15" xfId="5" applyNumberFormat="1" applyFont="1" applyFill="1" applyBorder="1"/>
    <xf numFmtId="38" fontId="19" fillId="0" borderId="0" xfId="0" applyNumberFormat="1" applyFont="1"/>
    <xf numFmtId="0" fontId="11" fillId="0" borderId="16" xfId="3" applyFont="1" applyBorder="1" applyAlignment="1">
      <alignment vertical="center"/>
    </xf>
    <xf numFmtId="0" fontId="10" fillId="0" borderId="15" xfId="3" applyFont="1" applyBorder="1"/>
    <xf numFmtId="0" fontId="65" fillId="0" borderId="0" xfId="0" applyFont="1"/>
    <xf numFmtId="38" fontId="65" fillId="0" borderId="0" xfId="0" applyNumberFormat="1" applyFont="1"/>
    <xf numFmtId="38" fontId="44" fillId="0" borderId="0" xfId="3" applyNumberFormat="1" applyFont="1"/>
    <xf numFmtId="38" fontId="44" fillId="0" borderId="0" xfId="3" applyNumberFormat="1" applyFont="1" applyBorder="1"/>
    <xf numFmtId="38" fontId="44" fillId="0" borderId="0" xfId="26" applyNumberFormat="1" applyFont="1" applyBorder="1" applyAlignment="1">
      <alignment horizontal="right"/>
    </xf>
    <xf numFmtId="0" fontId="44" fillId="0" borderId="0" xfId="3" applyFont="1" applyAlignment="1">
      <alignment horizontal="right"/>
    </xf>
    <xf numFmtId="38" fontId="44" fillId="0" borderId="0" xfId="5" applyNumberFormat="1" applyFont="1" applyBorder="1" applyAlignment="1">
      <alignment horizontal="right"/>
    </xf>
    <xf numFmtId="0" fontId="14" fillId="0" borderId="0" xfId="3" applyFont="1" applyAlignment="1">
      <alignment horizontal="right" vertical="center"/>
    </xf>
    <xf numFmtId="38" fontId="13" fillId="0" borderId="0" xfId="5" applyNumberFormat="1" applyFont="1" applyBorder="1" applyAlignment="1">
      <alignment horizontal="right"/>
    </xf>
    <xf numFmtId="0" fontId="10" fillId="0" borderId="0" xfId="11" applyFont="1" applyFill="1" applyAlignment="1">
      <alignment horizontal="right" vertical="center" wrapText="1"/>
    </xf>
    <xf numFmtId="167" fontId="14" fillId="0" borderId="16" xfId="3" applyNumberFormat="1" applyFont="1" applyFill="1" applyBorder="1" applyAlignment="1">
      <alignment horizontal="center" vertical="center"/>
    </xf>
    <xf numFmtId="49" fontId="19" fillId="0" borderId="0" xfId="0" applyNumberFormat="1" applyFont="1" applyBorder="1"/>
    <xf numFmtId="167" fontId="14" fillId="0" borderId="0" xfId="5" applyNumberFormat="1" applyFont="1" applyBorder="1" applyAlignment="1">
      <alignment horizontal="center" vertical="center"/>
    </xf>
    <xf numFmtId="167" fontId="61" fillId="0" borderId="0" xfId="5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left"/>
    </xf>
    <xf numFmtId="0" fontId="13" fillId="2" borderId="0" xfId="3" applyFont="1" applyFill="1" applyBorder="1"/>
    <xf numFmtId="167" fontId="13" fillId="0" borderId="15" xfId="5" quotePrefix="1" applyNumberFormat="1" applyFont="1" applyFill="1" applyBorder="1"/>
    <xf numFmtId="171" fontId="52" fillId="0" borderId="0" xfId="0" applyNumberFormat="1" applyFont="1"/>
    <xf numFmtId="41" fontId="0" fillId="0" borderId="0" xfId="35" applyFont="1"/>
    <xf numFmtId="0" fontId="13" fillId="0" borderId="0" xfId="9" applyFont="1" applyAlignment="1">
      <alignment horizontal="right" vertical="top"/>
    </xf>
    <xf numFmtId="166" fontId="11" fillId="0" borderId="1" xfId="6" applyNumberFormat="1" applyFont="1" applyBorder="1" applyAlignment="1">
      <alignment horizontal="center" vertical="center" wrapText="1"/>
    </xf>
    <xf numFmtId="0" fontId="13" fillId="0" borderId="0" xfId="10" applyFont="1" applyFill="1" applyAlignment="1">
      <alignment vertical="center"/>
    </xf>
    <xf numFmtId="0" fontId="13" fillId="0" borderId="15" xfId="3" applyFont="1" applyFill="1" applyBorder="1" applyAlignment="1">
      <alignment horizontal="left"/>
    </xf>
    <xf numFmtId="0" fontId="15" fillId="0" borderId="0" xfId="3" applyFont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2" fillId="0" borderId="15" xfId="3" applyFont="1" applyFill="1" applyBorder="1" applyAlignment="1">
      <alignment vertical="center"/>
    </xf>
    <xf numFmtId="167" fontId="13" fillId="0" borderId="0" xfId="9" applyNumberFormat="1" applyFont="1"/>
    <xf numFmtId="3" fontId="10" fillId="0" borderId="5" xfId="9" applyNumberFormat="1" applyFont="1" applyFill="1" applyBorder="1" applyAlignment="1">
      <alignment vertical="center"/>
    </xf>
    <xf numFmtId="3" fontId="10" fillId="0" borderId="12" xfId="9" applyNumberFormat="1" applyFont="1" applyFill="1" applyBorder="1" applyAlignment="1">
      <alignment vertical="center"/>
    </xf>
    <xf numFmtId="3" fontId="10" fillId="0" borderId="5" xfId="9" applyNumberFormat="1" applyFont="1" applyFill="1" applyBorder="1" applyAlignment="1">
      <alignment horizontal="right" vertical="center" wrapText="1"/>
    </xf>
    <xf numFmtId="3" fontId="10" fillId="0" borderId="9" xfId="9" applyNumberFormat="1" applyFont="1" applyFill="1" applyBorder="1" applyAlignment="1">
      <alignment vertical="center"/>
    </xf>
    <xf numFmtId="3" fontId="10" fillId="0" borderId="10" xfId="9" applyNumberFormat="1" applyFont="1" applyFill="1" applyBorder="1" applyAlignment="1">
      <alignment vertical="center"/>
    </xf>
    <xf numFmtId="3" fontId="10" fillId="0" borderId="18" xfId="9" applyNumberFormat="1" applyFont="1" applyFill="1" applyBorder="1" applyAlignment="1">
      <alignment vertical="center"/>
    </xf>
    <xf numFmtId="3" fontId="10" fillId="0" borderId="19" xfId="9" applyNumberFormat="1" applyFont="1" applyFill="1" applyBorder="1" applyAlignment="1">
      <alignment vertical="center"/>
    </xf>
    <xf numFmtId="41" fontId="0" fillId="0" borderId="15" xfId="35" applyFont="1" applyBorder="1"/>
    <xf numFmtId="0" fontId="0" fillId="0" borderId="15" xfId="0" applyBorder="1"/>
    <xf numFmtId="0" fontId="0" fillId="0" borderId="16" xfId="0" applyBorder="1" applyAlignment="1">
      <alignment vertical="center"/>
    </xf>
    <xf numFmtId="0" fontId="14" fillId="0" borderId="0" xfId="3" applyFont="1" applyFill="1" applyAlignment="1">
      <alignment horizontal="center" vertical="center" wrapText="1"/>
    </xf>
    <xf numFmtId="0" fontId="13" fillId="0" borderId="0" xfId="3" applyFont="1" applyAlignment="1">
      <alignment horizontal="center" vertical="top" wrapText="1"/>
    </xf>
    <xf numFmtId="0" fontId="13" fillId="0" borderId="0" xfId="3" applyFont="1" applyAlignment="1">
      <alignment horizontal="center" wrapText="1"/>
    </xf>
    <xf numFmtId="0" fontId="13" fillId="0" borderId="15" xfId="3" applyFont="1" applyBorder="1" applyAlignment="1">
      <alignment horizontal="center" vertical="top" wrapText="1"/>
    </xf>
    <xf numFmtId="0" fontId="15" fillId="0" borderId="0" xfId="3" applyFont="1" applyAlignment="1">
      <alignment horizontal="center" vertical="top" wrapText="1"/>
    </xf>
    <xf numFmtId="0" fontId="52" fillId="0" borderId="0" xfId="0" applyFont="1" applyFill="1" applyAlignment="1">
      <alignment horizontal="right"/>
    </xf>
    <xf numFmtId="167" fontId="13" fillId="0" borderId="0" xfId="36" applyNumberFormat="1" applyFont="1" applyFill="1"/>
    <xf numFmtId="167" fontId="13" fillId="2" borderId="0" xfId="5" applyNumberFormat="1" applyFont="1" applyFill="1"/>
    <xf numFmtId="0" fontId="44" fillId="0" borderId="0" xfId="3" applyFont="1" applyBorder="1"/>
    <xf numFmtId="0" fontId="13" fillId="0" borderId="0" xfId="3" applyFont="1" applyFill="1" applyAlignment="1">
      <alignment horizontal="center" vertical="center"/>
    </xf>
    <xf numFmtId="41" fontId="19" fillId="0" borderId="0" xfId="35" applyFont="1"/>
    <xf numFmtId="0" fontId="64" fillId="0" borderId="0" xfId="0" applyFont="1" applyAlignment="1">
      <alignment horizontal="center" vertical="center" wrapText="1"/>
    </xf>
    <xf numFmtId="41" fontId="64" fillId="0" borderId="16" xfId="35" applyFont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15" xfId="3" applyFont="1" applyFill="1" applyBorder="1"/>
    <xf numFmtId="41" fontId="19" fillId="0" borderId="15" xfId="35" applyFont="1" applyBorder="1"/>
    <xf numFmtId="0" fontId="26" fillId="0" borderId="0" xfId="3" applyFont="1" applyFill="1" applyAlignment="1">
      <alignment vertical="center"/>
    </xf>
    <xf numFmtId="41" fontId="65" fillId="0" borderId="0" xfId="35" applyFont="1"/>
    <xf numFmtId="0" fontId="10" fillId="0" borderId="15" xfId="3" applyFont="1" applyFill="1" applyBorder="1" applyAlignment="1">
      <alignment vertical="center"/>
    </xf>
    <xf numFmtId="41" fontId="65" fillId="0" borderId="15" xfId="35" applyFont="1" applyBorder="1"/>
    <xf numFmtId="0" fontId="13" fillId="0" borderId="0" xfId="9" applyFont="1" applyAlignment="1">
      <alignment horizontal="right" vertical="top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0" fontId="14" fillId="0" borderId="0" xfId="3" applyFont="1" applyAlignment="1">
      <alignment vertical="center" wrapText="1"/>
    </xf>
    <xf numFmtId="167" fontId="3" fillId="0" borderId="15" xfId="5" applyNumberFormat="1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167" fontId="21" fillId="0" borderId="0" xfId="5" applyNumberFormat="1" applyFont="1" applyFill="1" applyBorder="1" applyAlignment="1">
      <alignment horizontal="center" vertical="center"/>
    </xf>
    <xf numFmtId="0" fontId="44" fillId="0" borderId="15" xfId="3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vertical="center"/>
    </xf>
    <xf numFmtId="0" fontId="6" fillId="0" borderId="38" xfId="0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6" fillId="0" borderId="44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7" fillId="0" borderId="36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6" fillId="0" borderId="36" xfId="0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2" fillId="0" borderId="0" xfId="0" applyFont="1"/>
    <xf numFmtId="3" fontId="10" fillId="0" borderId="0" xfId="0" applyNumberFormat="1" applyFont="1" applyFill="1"/>
    <xf numFmtId="0" fontId="10" fillId="0" borderId="15" xfId="0" applyFont="1" applyFill="1" applyBorder="1"/>
    <xf numFmtId="3" fontId="11" fillId="0" borderId="0" xfId="0" applyNumberFormat="1" applyFont="1" applyFill="1"/>
    <xf numFmtId="3" fontId="13" fillId="0" borderId="0" xfId="3" applyNumberFormat="1" applyFont="1" applyFill="1"/>
    <xf numFmtId="3" fontId="13" fillId="0" borderId="15" xfId="3" applyNumberFormat="1" applyFont="1" applyFill="1" applyBorder="1"/>
    <xf numFmtId="3" fontId="14" fillId="0" borderId="0" xfId="3" applyNumberFormat="1" applyFont="1" applyFill="1"/>
    <xf numFmtId="0" fontId="52" fillId="0" borderId="0" xfId="0" applyFont="1" applyFill="1" applyAlignment="1">
      <alignment vertical="center"/>
    </xf>
    <xf numFmtId="38" fontId="13" fillId="0" borderId="0" xfId="5" applyNumberFormat="1" applyFont="1" applyFill="1" applyBorder="1" applyAlignment="1">
      <alignment horizontal="right"/>
    </xf>
    <xf numFmtId="38" fontId="13" fillId="0" borderId="0" xfId="26" applyNumberFormat="1" applyFont="1" applyFill="1" applyBorder="1" applyAlignment="1">
      <alignment horizontal="right"/>
    </xf>
    <xf numFmtId="0" fontId="43" fillId="0" borderId="0" xfId="3" applyFont="1" applyFill="1" applyAlignment="1">
      <alignment horizontal="right"/>
    </xf>
    <xf numFmtId="167" fontId="43" fillId="0" borderId="15" xfId="5" applyNumberFormat="1" applyFont="1" applyFill="1" applyBorder="1"/>
    <xf numFmtId="0" fontId="13" fillId="0" borderId="0" xfId="3" applyFont="1" applyAlignment="1">
      <alignment horizontal="left"/>
    </xf>
    <xf numFmtId="0" fontId="19" fillId="0" borderId="0" xfId="0" applyFont="1" applyFill="1" applyAlignment="1">
      <alignment horizontal="left"/>
    </xf>
    <xf numFmtId="0" fontId="13" fillId="0" borderId="15" xfId="3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68" fillId="0" borderId="33" xfId="0" applyFont="1" applyBorder="1" applyAlignment="1">
      <alignment horizontal="center" vertical="center" wrapText="1"/>
    </xf>
    <xf numFmtId="0" fontId="68" fillId="0" borderId="34" xfId="0" applyFont="1" applyBorder="1" applyAlignment="1">
      <alignment horizontal="center" vertical="center"/>
    </xf>
    <xf numFmtId="0" fontId="68" fillId="0" borderId="35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 wrapText="1"/>
    </xf>
    <xf numFmtId="1" fontId="13" fillId="0" borderId="0" xfId="5" applyNumberFormat="1" applyFont="1" applyBorder="1"/>
    <xf numFmtId="1" fontId="13" fillId="0" borderId="0" xfId="5" applyNumberFormat="1" applyFont="1" applyBorder="1" applyAlignment="1">
      <alignment horizontal="right"/>
    </xf>
    <xf numFmtId="0" fontId="48" fillId="0" borderId="0" xfId="3" applyFont="1" applyAlignment="1">
      <alignment horizontal="center"/>
    </xf>
    <xf numFmtId="0" fontId="3" fillId="0" borderId="0" xfId="2" applyFont="1" applyFill="1" applyAlignment="1">
      <alignment horizontal="left" vertical="center"/>
    </xf>
    <xf numFmtId="0" fontId="14" fillId="0" borderId="15" xfId="9" applyFont="1" applyBorder="1" applyAlignment="1">
      <alignment horizontal="center" vertical="top" wrapText="1"/>
    </xf>
    <xf numFmtId="0" fontId="13" fillId="0" borderId="0" xfId="9" applyFont="1" applyAlignment="1">
      <alignment horizontal="right" vertical="top"/>
    </xf>
    <xf numFmtId="0" fontId="10" fillId="0" borderId="0" xfId="11" applyFont="1" applyFill="1" applyAlignment="1">
      <alignment horizontal="right" vertical="top"/>
    </xf>
    <xf numFmtId="0" fontId="13" fillId="0" borderId="0" xfId="3" applyFont="1" applyAlignment="1">
      <alignment horizontal="right"/>
    </xf>
    <xf numFmtId="0" fontId="13" fillId="0" borderId="0" xfId="3" applyFont="1" applyAlignment="1">
      <alignment vertical="center" wrapText="1"/>
    </xf>
    <xf numFmtId="0" fontId="48" fillId="0" borderId="0" xfId="3" applyFont="1" applyFill="1" applyBorder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2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3" fontId="45" fillId="0" borderId="0" xfId="3" applyNumberFormat="1" applyFont="1" applyAlignment="1">
      <alignment horizontal="right"/>
    </xf>
    <xf numFmtId="0" fontId="10" fillId="0" borderId="0" xfId="11" applyFont="1" applyFill="1" applyAlignment="1">
      <alignment vertical="top"/>
    </xf>
    <xf numFmtId="0" fontId="14" fillId="3" borderId="16" xfId="3" applyFont="1" applyFill="1" applyBorder="1" applyAlignment="1">
      <alignment vertical="center"/>
    </xf>
    <xf numFmtId="167" fontId="14" fillId="3" borderId="16" xfId="5" applyNumberFormat="1" applyFont="1" applyFill="1" applyBorder="1" applyAlignment="1">
      <alignment vertical="center"/>
    </xf>
    <xf numFmtId="167" fontId="14" fillId="3" borderId="16" xfId="5" applyNumberFormat="1" applyFont="1" applyFill="1" applyBorder="1" applyAlignment="1">
      <alignment horizontal="center" vertical="center"/>
    </xf>
    <xf numFmtId="0" fontId="14" fillId="3" borderId="16" xfId="3" applyFont="1" applyFill="1" applyBorder="1" applyAlignment="1">
      <alignment horizontal="left" vertical="center"/>
    </xf>
    <xf numFmtId="167" fontId="14" fillId="3" borderId="16" xfId="3" applyNumberFormat="1" applyFont="1" applyFill="1" applyBorder="1" applyAlignment="1">
      <alignment horizontal="center" vertical="center"/>
    </xf>
    <xf numFmtId="167" fontId="9" fillId="3" borderId="16" xfId="5" applyNumberFormat="1" applyFont="1" applyFill="1" applyBorder="1" applyAlignment="1">
      <alignment vertical="center"/>
    </xf>
    <xf numFmtId="167" fontId="9" fillId="3" borderId="15" xfId="5" applyNumberFormat="1" applyFont="1" applyFill="1" applyBorder="1" applyAlignment="1">
      <alignment vertical="center"/>
    </xf>
    <xf numFmtId="167" fontId="66" fillId="3" borderId="15" xfId="0" applyNumberFormat="1" applyFont="1" applyFill="1" applyBorder="1" applyAlignment="1">
      <alignment horizontal="left" vertical="center"/>
    </xf>
    <xf numFmtId="38" fontId="64" fillId="3" borderId="15" xfId="0" applyNumberFormat="1" applyFont="1" applyFill="1" applyBorder="1" applyAlignment="1">
      <alignment vertical="center"/>
    </xf>
    <xf numFmtId="38" fontId="13" fillId="3" borderId="0" xfId="5" applyNumberFormat="1" applyFont="1" applyFill="1" applyBorder="1" applyAlignment="1">
      <alignment vertical="center"/>
    </xf>
    <xf numFmtId="167" fontId="14" fillId="3" borderId="16" xfId="3" applyNumberFormat="1" applyFont="1" applyFill="1" applyBorder="1" applyAlignment="1">
      <alignment vertical="center"/>
    </xf>
    <xf numFmtId="0" fontId="69" fillId="0" borderId="0" xfId="3" applyFont="1"/>
    <xf numFmtId="38" fontId="10" fillId="0" borderId="0" xfId="5" applyNumberFormat="1" applyFont="1" applyFill="1" applyBorder="1" applyAlignment="1"/>
    <xf numFmtId="41" fontId="13" fillId="0" borderId="0" xfId="35" applyFont="1" applyFill="1"/>
    <xf numFmtId="0" fontId="1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41" fontId="0" fillId="0" borderId="0" xfId="35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horizontal="center" vertical="center" wrapText="1"/>
    </xf>
    <xf numFmtId="0" fontId="52" fillId="0" borderId="0" xfId="7" applyFont="1" applyAlignment="1">
      <alignment horizontal="right" vertical="center"/>
    </xf>
    <xf numFmtId="0" fontId="52" fillId="0" borderId="0" xfId="7" applyFont="1" applyAlignment="1">
      <alignment vertical="center"/>
    </xf>
    <xf numFmtId="0" fontId="71" fillId="0" borderId="0" xfId="7" applyFont="1" applyAlignment="1">
      <alignment horizontal="center" vertical="center"/>
    </xf>
    <xf numFmtId="0" fontId="72" fillId="0" borderId="0" xfId="7" applyFont="1" applyAlignment="1">
      <alignment horizontal="left" vertical="center"/>
    </xf>
    <xf numFmtId="0" fontId="71" fillId="0" borderId="1" xfId="7" applyFont="1" applyBorder="1" applyAlignment="1">
      <alignment horizontal="left" vertical="center"/>
    </xf>
    <xf numFmtId="0" fontId="71" fillId="2" borderId="1" xfId="0" applyFont="1" applyFill="1" applyBorder="1" applyAlignment="1">
      <alignment horizontal="center" vertical="center" wrapText="1"/>
    </xf>
    <xf numFmtId="0" fontId="71" fillId="0" borderId="5" xfId="7" applyFont="1" applyBorder="1" applyAlignment="1">
      <alignment horizontal="left" vertical="center"/>
    </xf>
    <xf numFmtId="0" fontId="52" fillId="0" borderId="5" xfId="0" applyFont="1" applyBorder="1" applyAlignment="1">
      <alignment horizontal="left" vertical="center"/>
    </xf>
    <xf numFmtId="170" fontId="52" fillId="2" borderId="1" xfId="7" applyNumberFormat="1" applyFont="1" applyFill="1" applyBorder="1" applyAlignment="1">
      <alignment vertical="center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vertical="center"/>
    </xf>
    <xf numFmtId="0" fontId="52" fillId="0" borderId="3" xfId="0" applyFont="1" applyBorder="1" applyAlignment="1">
      <alignment horizontal="left" vertical="center"/>
    </xf>
    <xf numFmtId="0" fontId="52" fillId="0" borderId="3" xfId="0" applyFont="1" applyBorder="1" applyAlignment="1">
      <alignment vertical="center"/>
    </xf>
    <xf numFmtId="0" fontId="52" fillId="0" borderId="3" xfId="0" applyFont="1" applyBorder="1" applyAlignment="1">
      <alignment vertical="center" shrinkToFit="1"/>
    </xf>
    <xf numFmtId="0" fontId="52" fillId="0" borderId="1" xfId="0" applyFont="1" applyBorder="1" applyAlignment="1">
      <alignment vertical="center" shrinkToFit="1"/>
    </xf>
    <xf numFmtId="0" fontId="52" fillId="0" borderId="0" xfId="0" applyFont="1" applyBorder="1" applyAlignment="1">
      <alignment vertical="center"/>
    </xf>
    <xf numFmtId="0" fontId="71" fillId="2" borderId="0" xfId="0" applyFont="1" applyFill="1" applyAlignment="1">
      <alignment horizontal="center" vertical="center" wrapText="1"/>
    </xf>
    <xf numFmtId="0" fontId="72" fillId="0" borderId="0" xfId="0" applyFont="1" applyBorder="1" applyAlignment="1">
      <alignment vertical="center"/>
    </xf>
    <xf numFmtId="0" fontId="52" fillId="0" borderId="5" xfId="0" applyFont="1" applyBorder="1" applyAlignment="1">
      <alignment vertical="center"/>
    </xf>
    <xf numFmtId="0" fontId="52" fillId="0" borderId="21" xfId="0" applyFont="1" applyBorder="1" applyAlignment="1">
      <alignment vertical="center"/>
    </xf>
    <xf numFmtId="0" fontId="72" fillId="0" borderId="0" xfId="0" applyFont="1" applyBorder="1" applyAlignment="1">
      <alignment horizontal="left" vertical="center"/>
    </xf>
    <xf numFmtId="0" fontId="52" fillId="2" borderId="0" xfId="7" applyFont="1" applyFill="1" applyAlignment="1">
      <alignment vertical="center"/>
    </xf>
    <xf numFmtId="0" fontId="71" fillId="0" borderId="0" xfId="7" applyFont="1" applyBorder="1" applyAlignment="1">
      <alignment horizontal="left" vertical="center"/>
    </xf>
    <xf numFmtId="0" fontId="71" fillId="2" borderId="0" xfId="0" applyFont="1" applyFill="1" applyBorder="1" applyAlignment="1">
      <alignment horizontal="center" vertical="center" wrapText="1"/>
    </xf>
    <xf numFmtId="170" fontId="52" fillId="2" borderId="0" xfId="7" applyNumberFormat="1" applyFont="1" applyFill="1" applyBorder="1" applyAlignment="1">
      <alignment vertical="center"/>
    </xf>
    <xf numFmtId="0" fontId="10" fillId="0" borderId="0" xfId="12" applyFont="1" applyFill="1" applyAlignment="1">
      <alignment horizontal="right" vertical="top"/>
    </xf>
    <xf numFmtId="0" fontId="11" fillId="0" borderId="0" xfId="12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top"/>
    </xf>
    <xf numFmtId="0" fontId="10" fillId="3" borderId="30" xfId="9" applyFont="1" applyFill="1" applyBorder="1" applyAlignment="1">
      <alignment horizontal="center" vertical="center"/>
    </xf>
    <xf numFmtId="0" fontId="10" fillId="3" borderId="16" xfId="9" applyFont="1" applyFill="1" applyBorder="1" applyAlignment="1">
      <alignment horizontal="center" vertical="center"/>
    </xf>
    <xf numFmtId="0" fontId="10" fillId="3" borderId="31" xfId="9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2" fillId="0" borderId="0" xfId="0" applyFont="1" applyAlignment="1">
      <alignment horizontal="center"/>
    </xf>
    <xf numFmtId="0" fontId="13" fillId="0" borderId="0" xfId="9" applyFont="1" applyAlignment="1">
      <alignment horizontal="right" vertical="top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3" fillId="0" borderId="0" xfId="3" applyFont="1" applyAlignment="1">
      <alignment horizontal="right" vertical="top"/>
    </xf>
    <xf numFmtId="0" fontId="13" fillId="0" borderId="0" xfId="3" applyFont="1" applyAlignment="1">
      <alignment horizontal="left" wrapText="1"/>
    </xf>
    <xf numFmtId="0" fontId="14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3" fillId="0" borderId="1" xfId="9" applyFont="1" applyBorder="1" applyAlignment="1">
      <alignment horizontal="center" vertical="center"/>
    </xf>
    <xf numFmtId="0" fontId="13" fillId="2" borderId="0" xfId="9" applyFont="1" applyFill="1" applyAlignment="1">
      <alignment horizontal="right" vertical="top"/>
    </xf>
    <xf numFmtId="0" fontId="14" fillId="2" borderId="0" xfId="3" applyFont="1" applyFill="1" applyAlignment="1">
      <alignment horizontal="center" vertical="center"/>
    </xf>
    <xf numFmtId="0" fontId="13" fillId="0" borderId="0" xfId="9" applyFont="1" applyAlignment="1">
      <alignment horizontal="left" vertical="top"/>
    </xf>
    <xf numFmtId="0" fontId="45" fillId="0" borderId="0" xfId="9" applyFont="1" applyBorder="1" applyAlignment="1">
      <alignment horizontal="center" vertical="center"/>
    </xf>
    <xf numFmtId="0" fontId="13" fillId="0" borderId="0" xfId="3" applyFont="1" applyFill="1" applyAlignment="1">
      <alignment horizontal="left" vertical="top"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wrapText="1"/>
    </xf>
    <xf numFmtId="0" fontId="13" fillId="0" borderId="0" xfId="3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2" borderId="3" xfId="9" applyFont="1" applyFill="1" applyBorder="1" applyAlignment="1">
      <alignment vertical="center"/>
    </xf>
    <xf numFmtId="0" fontId="14" fillId="2" borderId="5" xfId="9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167" fontId="13" fillId="0" borderId="0" xfId="5" applyNumberFormat="1" applyFont="1" applyFill="1" applyBorder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9" applyFont="1" applyAlignment="1">
      <alignment horizontal="center" vertical="center" wrapText="1"/>
    </xf>
    <xf numFmtId="0" fontId="25" fillId="0" borderId="0" xfId="3" applyFont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9" applyFont="1" applyAlignment="1">
      <alignment horizontal="right"/>
    </xf>
    <xf numFmtId="0" fontId="13" fillId="0" borderId="0" xfId="9" applyFont="1" applyFill="1" applyAlignment="1">
      <alignment horizontal="right" vertical="top"/>
    </xf>
    <xf numFmtId="0" fontId="14" fillId="0" borderId="0" xfId="3" applyFont="1" applyFill="1" applyBorder="1" applyAlignment="1">
      <alignment horizontal="center" vertical="center"/>
    </xf>
    <xf numFmtId="0" fontId="63" fillId="0" borderId="0" xfId="3" applyFont="1" applyFill="1" applyBorder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13" fillId="0" borderId="2" xfId="9" applyFont="1" applyFill="1" applyBorder="1" applyAlignment="1">
      <alignment horizontal="center" vertical="center"/>
    </xf>
    <xf numFmtId="0" fontId="13" fillId="0" borderId="22" xfId="9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right" vertical="center"/>
    </xf>
    <xf numFmtId="167" fontId="3" fillId="0" borderId="0" xfId="5" applyNumberFormat="1" applyFont="1" applyFill="1" applyAlignment="1">
      <alignment horizontal="right" vertical="center"/>
    </xf>
    <xf numFmtId="167" fontId="3" fillId="0" borderId="15" xfId="5" applyNumberFormat="1" applyFont="1" applyFill="1" applyBorder="1" applyAlignment="1">
      <alignment horizontal="center" vertical="center"/>
    </xf>
    <xf numFmtId="0" fontId="11" fillId="0" borderId="0" xfId="9" applyFont="1" applyFill="1" applyAlignment="1">
      <alignment horizontal="center" vertical="center"/>
    </xf>
    <xf numFmtId="0" fontId="11" fillId="0" borderId="11" xfId="9" applyFont="1" applyFill="1" applyBorder="1" applyAlignment="1">
      <alignment horizontal="center" vertical="center" wrapText="1"/>
    </xf>
    <xf numFmtId="0" fontId="11" fillId="0" borderId="14" xfId="9" applyFont="1" applyFill="1" applyBorder="1" applyAlignment="1">
      <alignment vertical="center"/>
    </xf>
    <xf numFmtId="0" fontId="11" fillId="0" borderId="24" xfId="9" applyFont="1" applyFill="1" applyBorder="1" applyAlignment="1">
      <alignment horizontal="center" vertical="center"/>
    </xf>
    <xf numFmtId="0" fontId="11" fillId="0" borderId="25" xfId="9" applyFont="1" applyFill="1" applyBorder="1" applyAlignment="1">
      <alignment horizontal="center" vertical="center"/>
    </xf>
    <xf numFmtId="0" fontId="11" fillId="0" borderId="26" xfId="9" applyFont="1" applyFill="1" applyBorder="1" applyAlignment="1">
      <alignment horizontal="center" vertical="center"/>
    </xf>
    <xf numFmtId="0" fontId="10" fillId="0" borderId="0" xfId="11" applyFont="1" applyFill="1" applyAlignment="1">
      <alignment horizontal="center" wrapText="1"/>
    </xf>
    <xf numFmtId="0" fontId="15" fillId="0" borderId="0" xfId="3" applyFont="1" applyFill="1" applyBorder="1" applyAlignment="1">
      <alignment horizontal="left" vertical="center" wrapText="1" indent="1"/>
    </xf>
    <xf numFmtId="0" fontId="11" fillId="0" borderId="0" xfId="11" applyFont="1" applyFill="1" applyAlignment="1">
      <alignment horizontal="center" vertical="top" wrapText="1"/>
    </xf>
    <xf numFmtId="0" fontId="13" fillId="0" borderId="0" xfId="3" applyFont="1" applyFill="1" applyAlignment="1">
      <alignment horizontal="left" wrapText="1"/>
    </xf>
    <xf numFmtId="0" fontId="13" fillId="0" borderId="0" xfId="3" applyFont="1" applyFill="1" applyAlignment="1">
      <alignment horizontal="right" vertical="top"/>
    </xf>
    <xf numFmtId="0" fontId="13" fillId="0" borderId="0" xfId="3" applyFont="1" applyFill="1" applyAlignment="1">
      <alignment horizontal="left" vertical="center" wrapText="1"/>
    </xf>
    <xf numFmtId="0" fontId="67" fillId="0" borderId="37" xfId="0" applyFont="1" applyBorder="1" applyAlignment="1">
      <alignment horizontal="center" vertical="center"/>
    </xf>
    <xf numFmtId="0" fontId="67" fillId="0" borderId="41" xfId="0" applyFont="1" applyBorder="1" applyAlignment="1">
      <alignment horizontal="center" vertical="center"/>
    </xf>
    <xf numFmtId="0" fontId="67" fillId="0" borderId="43" xfId="0" applyFont="1" applyBorder="1" applyAlignment="1">
      <alignment horizontal="center" vertical="center"/>
    </xf>
    <xf numFmtId="0" fontId="68" fillId="0" borderId="36" xfId="0" applyFont="1" applyBorder="1" applyAlignment="1">
      <alignment horizontal="center" vertical="center" wrapText="1"/>
    </xf>
    <xf numFmtId="0" fontId="67" fillId="0" borderId="47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19" fillId="0" borderId="36" xfId="0" applyFont="1" applyBorder="1" applyAlignment="1">
      <alignment horizontal="right" vertical="top"/>
    </xf>
    <xf numFmtId="0" fontId="67" fillId="0" borderId="48" xfId="0" applyFont="1" applyBorder="1" applyAlignment="1">
      <alignment horizontal="center" vertical="center"/>
    </xf>
    <xf numFmtId="0" fontId="68" fillId="0" borderId="5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22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vertical="center" wrapText="1"/>
    </xf>
    <xf numFmtId="0" fontId="64" fillId="0" borderId="0" xfId="0" applyFont="1" applyBorder="1" applyAlignment="1">
      <alignment horizontal="left"/>
    </xf>
    <xf numFmtId="0" fontId="14" fillId="0" borderId="0" xfId="3" applyFont="1" applyFill="1" applyAlignment="1">
      <alignment horizontal="center" vertical="center" wrapText="1"/>
    </xf>
    <xf numFmtId="0" fontId="29" fillId="0" borderId="0" xfId="13" applyFont="1" applyAlignment="1">
      <alignment horizontal="left" wrapText="1"/>
    </xf>
    <xf numFmtId="0" fontId="13" fillId="0" borderId="0" xfId="3" applyFont="1" applyAlignment="1">
      <alignment horizontal="left" vertical="top"/>
    </xf>
    <xf numFmtId="0" fontId="13" fillId="0" borderId="0" xfId="3" applyFont="1" applyAlignment="1">
      <alignment horizontal="right"/>
    </xf>
    <xf numFmtId="0" fontId="19" fillId="0" borderId="0" xfId="0" applyFont="1" applyAlignment="1">
      <alignment horizontal="left" wrapText="1"/>
    </xf>
    <xf numFmtId="41" fontId="19" fillId="0" borderId="0" xfId="35" applyFont="1" applyAlignment="1">
      <alignment horizontal="right" vertical="top"/>
    </xf>
    <xf numFmtId="0" fontId="64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4" fillId="0" borderId="0" xfId="3" applyFont="1" applyAlignment="1">
      <alignment horizontal="left" vertical="center" wrapText="1"/>
    </xf>
    <xf numFmtId="164" fontId="13" fillId="0" borderId="0" xfId="21" applyFont="1" applyFill="1"/>
    <xf numFmtId="0" fontId="13" fillId="0" borderId="0" xfId="3" quotePrefix="1" applyFont="1" applyFill="1" applyAlignment="1">
      <alignment horizontal="center"/>
    </xf>
    <xf numFmtId="0" fontId="73" fillId="0" borderId="0" xfId="0" applyFont="1" applyFill="1"/>
    <xf numFmtId="0" fontId="43" fillId="0" borderId="0" xfId="0" applyFont="1" applyFill="1"/>
    <xf numFmtId="2" fontId="43" fillId="0" borderId="0" xfId="0" applyNumberFormat="1" applyFont="1" applyFill="1" applyAlignment="1">
      <alignment horizontal="center"/>
    </xf>
    <xf numFmtId="164" fontId="43" fillId="0" borderId="0" xfId="0" applyNumberFormat="1" applyFont="1" applyFill="1"/>
    <xf numFmtId="0" fontId="74" fillId="0" borderId="0" xfId="0" applyFont="1" applyFill="1"/>
    <xf numFmtId="164" fontId="43" fillId="0" borderId="0" xfId="21" applyNumberFormat="1" applyFont="1" applyFill="1"/>
    <xf numFmtId="2" fontId="13" fillId="0" borderId="0" xfId="0" applyNumberFormat="1" applyFont="1" applyFill="1" applyAlignment="1">
      <alignment horizontal="center"/>
    </xf>
    <xf numFmtId="164" fontId="13" fillId="0" borderId="0" xfId="0" applyNumberFormat="1" applyFont="1" applyFill="1"/>
    <xf numFmtId="0" fontId="13" fillId="0" borderId="0" xfId="0" applyFont="1" applyFill="1"/>
    <xf numFmtId="0" fontId="54" fillId="0" borderId="0" xfId="0" applyFont="1" applyFill="1"/>
    <xf numFmtId="2" fontId="43" fillId="2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/>
    <xf numFmtId="164" fontId="13" fillId="0" borderId="0" xfId="23" applyNumberFormat="1" applyFont="1" applyFill="1" applyAlignment="1">
      <alignment horizontal="center"/>
    </xf>
    <xf numFmtId="0" fontId="19" fillId="0" borderId="0" xfId="0" applyFont="1" applyFill="1"/>
    <xf numFmtId="0" fontId="20" fillId="0" borderId="0" xfId="3" applyFont="1" applyFill="1"/>
    <xf numFmtId="0" fontId="16" fillId="0" borderId="0" xfId="3" applyFont="1" applyFill="1" applyAlignment="1">
      <alignment horizontal="center" vertical="center"/>
    </xf>
    <xf numFmtId="164" fontId="16" fillId="0" borderId="0" xfId="21" applyFont="1" applyFill="1" applyAlignment="1">
      <alignment horizontal="center" vertical="center"/>
    </xf>
    <xf numFmtId="0" fontId="13" fillId="0" borderId="1" xfId="3" applyFont="1" applyFill="1" applyBorder="1" applyAlignment="1">
      <alignment horizontal="left" vertical="center"/>
    </xf>
    <xf numFmtId="164" fontId="13" fillId="0" borderId="1" xfId="21" applyFont="1" applyFill="1" applyBorder="1"/>
    <xf numFmtId="0" fontId="13" fillId="0" borderId="1" xfId="3" applyFont="1" applyFill="1" applyBorder="1"/>
    <xf numFmtId="0" fontId="15" fillId="0" borderId="5" xfId="3" applyFont="1" applyFill="1" applyBorder="1" applyAlignment="1">
      <alignment horizontal="left" vertical="center"/>
    </xf>
    <xf numFmtId="0" fontId="16" fillId="0" borderId="0" xfId="3" applyFont="1" applyFill="1" applyAlignment="1">
      <alignment horizontal="center"/>
    </xf>
    <xf numFmtId="164" fontId="16" fillId="0" borderId="0" xfId="21" applyFont="1" applyFill="1" applyAlignment="1">
      <alignment horizontal="center"/>
    </xf>
    <xf numFmtId="0" fontId="13" fillId="0" borderId="1" xfId="3" applyFont="1" applyFill="1" applyBorder="1" applyAlignment="1">
      <alignment horizontal="left"/>
    </xf>
    <xf numFmtId="0" fontId="15" fillId="0" borderId="3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vertical="center" wrapText="1"/>
    </xf>
    <xf numFmtId="0" fontId="44" fillId="0" borderId="1" xfId="3" applyFont="1" applyFill="1" applyBorder="1" applyAlignment="1">
      <alignment horizontal="left"/>
    </xf>
    <xf numFmtId="0" fontId="15" fillId="0" borderId="1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left" vertical="center" wrapText="1"/>
    </xf>
    <xf numFmtId="0" fontId="55" fillId="0" borderId="5" xfId="3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horizontal="left" vertical="center" wrapText="1"/>
    </xf>
    <xf numFmtId="0" fontId="13" fillId="0" borderId="5" xfId="3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/>
    </xf>
    <xf numFmtId="0" fontId="16" fillId="0" borderId="52" xfId="3" applyFont="1" applyFill="1" applyBorder="1" applyAlignment="1">
      <alignment vertical="center"/>
    </xf>
    <xf numFmtId="0" fontId="16" fillId="0" borderId="7" xfId="3" applyFont="1" applyFill="1" applyBorder="1" applyAlignment="1">
      <alignment vertical="center"/>
    </xf>
    <xf numFmtId="0" fontId="16" fillId="0" borderId="6" xfId="3" applyFont="1" applyFill="1" applyBorder="1" applyAlignment="1">
      <alignment vertical="center"/>
    </xf>
    <xf numFmtId="164" fontId="13" fillId="2" borderId="1" xfId="21" applyFont="1" applyFill="1" applyBorder="1" applyAlignment="1">
      <alignment horizontal="center" vertical="center"/>
    </xf>
    <xf numFmtId="164" fontId="13" fillId="0" borderId="1" xfId="21" applyFont="1" applyFill="1" applyBorder="1" applyAlignment="1">
      <alignment horizontal="center" vertical="center"/>
    </xf>
    <xf numFmtId="164" fontId="13" fillId="0" borderId="1" xfId="21" applyFont="1" applyFill="1" applyBorder="1" applyAlignment="1">
      <alignment vertical="center"/>
    </xf>
    <xf numFmtId="0" fontId="13" fillId="0" borderId="1" xfId="3" applyFont="1" applyFill="1" applyBorder="1" applyAlignment="1">
      <alignment vertical="center"/>
    </xf>
    <xf numFmtId="0" fontId="13" fillId="0" borderId="5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64" fontId="14" fillId="0" borderId="1" xfId="2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164" fontId="13" fillId="0" borderId="5" xfId="21" applyFont="1" applyFill="1" applyBorder="1" applyAlignment="1">
      <alignment horizontal="center" vertical="center"/>
    </xf>
    <xf numFmtId="164" fontId="13" fillId="0" borderId="4" xfId="21" applyFont="1" applyFill="1" applyBorder="1" applyAlignment="1">
      <alignment horizontal="center" vertical="center"/>
    </xf>
    <xf numFmtId="164" fontId="13" fillId="0" borderId="3" xfId="21" applyFont="1" applyFill="1" applyBorder="1" applyAlignment="1">
      <alignment horizontal="center" vertical="center"/>
    </xf>
    <xf numFmtId="164" fontId="13" fillId="2" borderId="1" xfId="21" applyFont="1" applyFill="1" applyBorder="1" applyAlignment="1">
      <alignment vertical="center"/>
    </xf>
    <xf numFmtId="0" fontId="76" fillId="0" borderId="1" xfId="3" applyFont="1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 wrapText="1"/>
    </xf>
    <xf numFmtId="0" fontId="52" fillId="0" borderId="0" xfId="0" applyFont="1" applyFill="1" applyBorder="1" applyAlignment="1"/>
    <xf numFmtId="0" fontId="46" fillId="0" borderId="0" xfId="0" applyFont="1" applyFill="1"/>
    <xf numFmtId="0" fontId="61" fillId="0" borderId="0" xfId="37" applyFont="1" applyFill="1" applyBorder="1" applyAlignment="1">
      <alignment vertical="center" wrapText="1"/>
    </xf>
    <xf numFmtId="0" fontId="3" fillId="0" borderId="0" xfId="37" applyFont="1" applyFill="1" applyBorder="1" applyAlignment="1">
      <alignment vertical="center" wrapText="1"/>
    </xf>
    <xf numFmtId="0" fontId="22" fillId="0" borderId="0" xfId="37" applyFont="1" applyFill="1" applyBorder="1" applyAlignment="1">
      <alignment vertical="center"/>
    </xf>
    <xf numFmtId="164" fontId="3" fillId="2" borderId="10" xfId="38" applyFont="1" applyFill="1" applyBorder="1" applyAlignment="1">
      <alignment vertical="center"/>
    </xf>
    <xf numFmtId="164" fontId="3" fillId="2" borderId="53" xfId="38" applyFont="1" applyFill="1" applyBorder="1" applyAlignment="1">
      <alignment vertical="center"/>
    </xf>
    <xf numFmtId="0" fontId="3" fillId="2" borderId="23" xfId="37" applyFont="1" applyFill="1" applyBorder="1" applyAlignment="1">
      <alignment vertical="center"/>
    </xf>
    <xf numFmtId="164" fontId="3" fillId="2" borderId="12" xfId="38" applyFont="1" applyFill="1" applyBorder="1" applyAlignment="1">
      <alignment vertical="center"/>
    </xf>
    <xf numFmtId="164" fontId="3" fillId="2" borderId="52" xfId="38" applyFont="1" applyFill="1" applyBorder="1" applyAlignment="1">
      <alignment vertical="center"/>
    </xf>
    <xf numFmtId="164" fontId="3" fillId="2" borderId="52" xfId="38" applyFont="1" applyFill="1" applyBorder="1" applyAlignment="1">
      <alignment horizontal="center" vertical="center"/>
    </xf>
    <xf numFmtId="0" fontId="3" fillId="2" borderId="54" xfId="37" applyFont="1" applyFill="1" applyBorder="1" applyAlignment="1">
      <alignment vertical="center"/>
    </xf>
    <xf numFmtId="0" fontId="78" fillId="2" borderId="55" xfId="37" applyFont="1" applyFill="1" applyBorder="1" applyAlignment="1">
      <alignment horizontal="left" vertical="center"/>
    </xf>
    <xf numFmtId="0" fontId="78" fillId="2" borderId="56" xfId="37" applyFont="1" applyFill="1" applyBorder="1" applyAlignment="1">
      <alignment horizontal="left" vertical="center"/>
    </xf>
    <xf numFmtId="0" fontId="78" fillId="2" borderId="11" xfId="37" applyFont="1" applyFill="1" applyBorder="1" applyAlignment="1">
      <alignment horizontal="left" vertical="center"/>
    </xf>
    <xf numFmtId="0" fontId="79" fillId="2" borderId="13" xfId="37" applyFont="1" applyFill="1" applyBorder="1" applyAlignment="1">
      <alignment horizontal="center" vertical="center" wrapText="1"/>
    </xf>
    <xf numFmtId="0" fontId="79" fillId="2" borderId="53" xfId="37" applyFont="1" applyFill="1" applyBorder="1" applyAlignment="1">
      <alignment horizontal="center" vertical="center" wrapText="1"/>
    </xf>
    <xf numFmtId="0" fontId="80" fillId="2" borderId="53" xfId="37" applyFont="1" applyFill="1" applyBorder="1" applyAlignment="1">
      <alignment horizontal="center" vertical="center" wrapText="1"/>
    </xf>
    <xf numFmtId="0" fontId="80" fillId="2" borderId="8" xfId="37" applyFont="1" applyFill="1" applyBorder="1" applyAlignment="1">
      <alignment horizontal="center" vertical="center"/>
    </xf>
    <xf numFmtId="0" fontId="80" fillId="2" borderId="55" xfId="37" applyFont="1" applyFill="1" applyBorder="1" applyAlignment="1">
      <alignment horizontal="center" vertical="center"/>
    </xf>
    <xf numFmtId="0" fontId="80" fillId="2" borderId="56" xfId="37" applyFont="1" applyFill="1" applyBorder="1" applyAlignment="1">
      <alignment horizontal="center" vertical="center"/>
    </xf>
    <xf numFmtId="0" fontId="80" fillId="2" borderId="57" xfId="37" applyFont="1" applyFill="1" applyBorder="1" applyAlignment="1">
      <alignment horizontal="center" vertical="center"/>
    </xf>
    <xf numFmtId="0" fontId="80" fillId="2" borderId="58" xfId="37" applyFont="1" applyFill="1" applyBorder="1" applyAlignment="1">
      <alignment horizontal="center" vertical="center"/>
    </xf>
    <xf numFmtId="164" fontId="3" fillId="2" borderId="12" xfId="38" applyFont="1" applyFill="1" applyBorder="1" applyAlignment="1">
      <alignment horizontal="center" vertical="center"/>
    </xf>
    <xf numFmtId="0" fontId="78" fillId="0" borderId="55" xfId="37" applyFont="1" applyFill="1" applyBorder="1" applyAlignment="1">
      <alignment horizontal="left" vertical="center"/>
    </xf>
    <xf numFmtId="0" fontId="78" fillId="0" borderId="56" xfId="37" applyFont="1" applyFill="1" applyBorder="1" applyAlignment="1">
      <alignment horizontal="left" vertical="center"/>
    </xf>
    <xf numFmtId="0" fontId="78" fillId="0" borderId="11" xfId="37" applyFont="1" applyFill="1" applyBorder="1" applyAlignment="1">
      <alignment horizontal="left" vertical="center"/>
    </xf>
    <xf numFmtId="0" fontId="79" fillId="0" borderId="13" xfId="37" applyFont="1" applyFill="1" applyBorder="1" applyAlignment="1">
      <alignment horizontal="center" vertical="center" wrapText="1"/>
    </xf>
    <xf numFmtId="0" fontId="79" fillId="0" borderId="53" xfId="37" applyFont="1" applyFill="1" applyBorder="1" applyAlignment="1">
      <alignment horizontal="center" vertical="center" wrapText="1"/>
    </xf>
    <xf numFmtId="0" fontId="80" fillId="0" borderId="53" xfId="37" applyFont="1" applyFill="1" applyBorder="1" applyAlignment="1">
      <alignment horizontal="center" vertical="center" wrapText="1"/>
    </xf>
    <xf numFmtId="0" fontId="80" fillId="0" borderId="8" xfId="37" applyFont="1" applyFill="1" applyBorder="1" applyAlignment="1">
      <alignment horizontal="center" vertical="center"/>
    </xf>
    <xf numFmtId="0" fontId="80" fillId="0" borderId="55" xfId="37" applyFont="1" applyFill="1" applyBorder="1" applyAlignment="1">
      <alignment horizontal="center" vertical="center"/>
    </xf>
    <xf numFmtId="0" fontId="80" fillId="0" borderId="56" xfId="37" applyFont="1" applyFill="1" applyBorder="1" applyAlignment="1">
      <alignment horizontal="center" vertical="center"/>
    </xf>
    <xf numFmtId="0" fontId="80" fillId="0" borderId="57" xfId="37" applyFont="1" applyFill="1" applyBorder="1" applyAlignment="1">
      <alignment horizontal="center" vertical="center"/>
    </xf>
    <xf numFmtId="0" fontId="80" fillId="0" borderId="58" xfId="37" applyFont="1" applyFill="1" applyBorder="1" applyAlignment="1">
      <alignment horizontal="center" vertical="center"/>
    </xf>
    <xf numFmtId="164" fontId="61" fillId="0" borderId="0" xfId="38" applyFont="1" applyFill="1" applyBorder="1" applyAlignment="1">
      <alignment vertical="center"/>
    </xf>
    <xf numFmtId="164" fontId="3" fillId="0" borderId="0" xfId="38" applyFont="1" applyFill="1" applyBorder="1" applyAlignment="1">
      <alignment vertical="center"/>
    </xf>
    <xf numFmtId="0" fontId="3" fillId="0" borderId="0" xfId="37" applyFont="1" applyFill="1" applyBorder="1" applyAlignment="1">
      <alignment vertical="center"/>
    </xf>
    <xf numFmtId="164" fontId="61" fillId="0" borderId="0" xfId="38" applyFont="1" applyFill="1" applyBorder="1" applyAlignment="1">
      <alignment horizontal="center" vertical="center"/>
    </xf>
    <xf numFmtId="164" fontId="3" fillId="0" borderId="13" xfId="38" applyFont="1" applyFill="1" applyBorder="1" applyAlignment="1">
      <alignment horizontal="center" vertical="center"/>
    </xf>
    <xf numFmtId="164" fontId="3" fillId="0" borderId="59" xfId="38" applyFont="1" applyFill="1" applyBorder="1" applyAlignment="1">
      <alignment horizontal="center" vertical="center"/>
    </xf>
    <xf numFmtId="0" fontId="3" fillId="0" borderId="60" xfId="37" applyFont="1" applyFill="1" applyBorder="1" applyAlignment="1">
      <alignment vertical="center"/>
    </xf>
    <xf numFmtId="164" fontId="3" fillId="0" borderId="12" xfId="38" applyFont="1" applyFill="1" applyBorder="1" applyAlignment="1">
      <alignment horizontal="center" vertical="center"/>
    </xf>
    <xf numFmtId="164" fontId="3" fillId="0" borderId="52" xfId="38" applyFont="1" applyFill="1" applyBorder="1" applyAlignment="1">
      <alignment horizontal="center" vertical="center"/>
    </xf>
    <xf numFmtId="0" fontId="3" fillId="0" borderId="61" xfId="37" applyFont="1" applyFill="1" applyBorder="1" applyAlignment="1">
      <alignment vertical="center"/>
    </xf>
    <xf numFmtId="164" fontId="3" fillId="0" borderId="12" xfId="38" applyFont="1" applyFill="1" applyBorder="1" applyAlignment="1">
      <alignment vertical="center"/>
    </xf>
    <xf numFmtId="0" fontId="3" fillId="0" borderId="54" xfId="37" applyFont="1" applyFill="1" applyBorder="1" applyAlignment="1">
      <alignment vertical="center"/>
    </xf>
    <xf numFmtId="164" fontId="3" fillId="0" borderId="52" xfId="38" applyFont="1" applyFill="1" applyBorder="1" applyAlignment="1">
      <alignment vertical="center"/>
    </xf>
    <xf numFmtId="0" fontId="82" fillId="0" borderId="0" xfId="37" applyFont="1" applyFill="1" applyBorder="1" applyAlignment="1">
      <alignment vertical="center"/>
    </xf>
    <xf numFmtId="0" fontId="78" fillId="0" borderId="55" xfId="37" applyFont="1" applyFill="1" applyBorder="1" applyAlignment="1">
      <alignment vertical="center"/>
    </xf>
    <xf numFmtId="0" fontId="78" fillId="0" borderId="56" xfId="37" applyFont="1" applyFill="1" applyBorder="1" applyAlignment="1">
      <alignment vertical="center"/>
    </xf>
    <xf numFmtId="0" fontId="78" fillId="0" borderId="11" xfId="37" applyFont="1" applyFill="1" applyBorder="1" applyAlignment="1">
      <alignment vertical="center"/>
    </xf>
    <xf numFmtId="0" fontId="83" fillId="0" borderId="0" xfId="37" applyFont="1" applyFill="1" applyBorder="1" applyAlignment="1">
      <alignment horizontal="center" vertical="center" wrapText="1"/>
    </xf>
    <xf numFmtId="0" fontId="80" fillId="0" borderId="10" xfId="37" applyFont="1" applyFill="1" applyBorder="1" applyAlignment="1">
      <alignment horizontal="center" vertical="center" wrapText="1"/>
    </xf>
    <xf numFmtId="0" fontId="83" fillId="0" borderId="0" xfId="37" applyFont="1" applyFill="1" applyBorder="1" applyAlignment="1">
      <alignment horizontal="center" vertical="center"/>
    </xf>
    <xf numFmtId="0" fontId="84" fillId="0" borderId="0" xfId="37" applyFont="1" applyFill="1" applyBorder="1" applyAlignment="1">
      <alignment horizontal="center" vertical="center"/>
    </xf>
    <xf numFmtId="0" fontId="21" fillId="0" borderId="0" xfId="37" applyFont="1" applyFill="1" applyBorder="1" applyAlignment="1">
      <alignment horizontal="center" vertical="center"/>
    </xf>
    <xf numFmtId="0" fontId="61" fillId="0" borderId="0" xfId="37" applyFont="1" applyFill="1" applyBorder="1" applyAlignment="1">
      <alignment horizontal="left" vertical="center"/>
    </xf>
    <xf numFmtId="0" fontId="3" fillId="0" borderId="0" xfId="37" applyFont="1" applyFill="1" applyBorder="1" applyAlignment="1">
      <alignment horizontal="left" vertical="center"/>
    </xf>
    <xf numFmtId="0" fontId="21" fillId="0" borderId="0" xfId="37" applyFont="1" applyFill="1" applyBorder="1" applyAlignment="1">
      <alignment horizontal="center" vertical="center" wrapText="1"/>
    </xf>
  </cellXfs>
  <cellStyles count="39">
    <cellStyle name="Ezres" xfId="1" builtinId="3"/>
    <cellStyle name="Ezres [0]" xfId="35" builtinId="6"/>
    <cellStyle name="Ezres 2" xfId="4"/>
    <cellStyle name="Ezres 2 2" xfId="16"/>
    <cellStyle name="Ezres 2 2 2" xfId="27"/>
    <cellStyle name="Ezres 2 3" xfId="19"/>
    <cellStyle name="Ezres 2 3 2" xfId="30"/>
    <cellStyle name="Ezres 2 4" xfId="22"/>
    <cellStyle name="Ezres 2 4 2" xfId="33"/>
    <cellStyle name="Ezres 2 5" xfId="25"/>
    <cellStyle name="Ezres 3" xfId="5"/>
    <cellStyle name="Ezres 3 2" xfId="17"/>
    <cellStyle name="Ezres 3 2 2" xfId="28"/>
    <cellStyle name="Ezres 3 3" xfId="18"/>
    <cellStyle name="Ezres 3 3 2" xfId="29"/>
    <cellStyle name="Ezres 3 4" xfId="21"/>
    <cellStyle name="Ezres 3 4 2" xfId="32"/>
    <cellStyle name="Ezres 3 5" xfId="26"/>
    <cellStyle name="Ezres 4" xfId="20"/>
    <cellStyle name="Ezres 4 2" xfId="31"/>
    <cellStyle name="Ezres 5" xfId="23"/>
    <cellStyle name="Ezres 5 2" xfId="34"/>
    <cellStyle name="Ezres 6" xfId="24"/>
    <cellStyle name="Ezres 7" xfId="36"/>
    <cellStyle name="Ezres_ARSZAB98" xfId="6"/>
    <cellStyle name="Ezres_vízdíj (2)" xfId="38"/>
    <cellStyle name="Normál" xfId="0" builtinId="0"/>
    <cellStyle name="Normál 2" xfId="7"/>
    <cellStyle name="Normál 3" xfId="8"/>
    <cellStyle name="Normál 4" xfId="9"/>
    <cellStyle name="Normál_2000arszab" xfId="10"/>
    <cellStyle name="Normál_2000árszab_jó" xfId="3"/>
    <cellStyle name="Normál_ARSZAB98" xfId="2"/>
    <cellStyle name="Normál_ARSZAB98 2" xfId="11"/>
    <cellStyle name="Normál_ÉDV_Zrt_árszabályzat_2009_melléklet" xfId="12"/>
    <cellStyle name="Normál_ÉDV_Zrt_árszabályzat_2009_melléklet 2" xfId="13"/>
    <cellStyle name="Normál_TÁRSASÁGI ÁRSZABÁLYZAT_2004_2005." xfId="14"/>
    <cellStyle name="Normál_vízdíj (2)" xfId="37"/>
    <cellStyle name="Százalék 2" xfId="15"/>
  </cellStyles>
  <dxfs count="0"/>
  <tableStyles count="1" defaultTableStyle="TableStyleMedium2" defaultPivotStyle="PivotStyleLight16">
    <tableStyle name="Táblázatstílus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ER01\Adatok\Users\horvath.peter\Desktop\&#193;rszab&#225;lyzat%202020%20mell&#233;kletek%20javaslatok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ER01\Adatok\Users\horvath.peter\Desktop\&#193;rszab&#225;lyzat%202020%20mell&#233;kletek%20javaslatok_otth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93;rszab&#225;lyzat%202023%20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 (2"/>
      <sheetName val="9. nem soros mellékmérő"/>
      <sheetName val="10. soros locsolási mellékmérő"/>
      <sheetName val="11. vízbekötések (2)"/>
      <sheetName val="12. vízbekötés megszüntetése"/>
      <sheetName val="12. vízbekötés megszüntetés (2"/>
      <sheetName val="13. elfagyott vízmérő"/>
      <sheetName val="13.1 kivetett kötbér"/>
      <sheetName val="14. vízszolg. szüneteltetés"/>
      <sheetName val="14.1 szennyvízszolg szüneteltet"/>
      <sheetName val="15. ellenőrzés (2)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 (2)"/>
      <sheetName val="24. csatornabekötés (2)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érítés"/>
      <sheetName val="33. geodéziai bemérés"/>
      <sheetName val="34. vízszállítá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4000</v>
          </cell>
        </row>
      </sheetData>
      <sheetData sheetId="6" refreshError="1"/>
      <sheetData sheetId="7" refreshError="1">
        <row r="10">
          <cell r="C10">
            <v>5000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di"/>
      <sheetName val="9. nem soros mellékmérő"/>
      <sheetName val="10. soros locsolási mellékmérő"/>
      <sheetName val="11. vízbekötések"/>
      <sheetName val="12. vízbekötés megszüntetés"/>
      <sheetName val="13. elfagyott vízmérő"/>
      <sheetName val="13.1 kivetett kötbér"/>
      <sheetName val="14. vízszolg. szüneteltetés"/>
      <sheetName val="14.1 szennyvízszolg szüneteltet"/>
      <sheetName val="15. ellenőrzés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"/>
      <sheetName val="24. csatornabekötés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alanítás"/>
      <sheetName val="33. geodéziai bemérés"/>
      <sheetName val="34. vízszállítás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4000</v>
          </cell>
        </row>
      </sheetData>
      <sheetData sheetId="6"/>
      <sheetData sheetId="7">
        <row r="10">
          <cell r="C10">
            <v>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11500</v>
          </cell>
        </row>
      </sheetData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N40"/>
  <sheetViews>
    <sheetView showGridLines="0" topLeftCell="C16" zoomScaleNormal="100" zoomScaleSheetLayoutView="100" workbookViewId="0">
      <selection activeCell="C41" sqref="C41"/>
    </sheetView>
  </sheetViews>
  <sheetFormatPr defaultColWidth="9.140625" defaultRowHeight="15" x14ac:dyDescent="0.25"/>
  <cols>
    <col min="1" max="1" width="13.85546875" style="2" hidden="1" customWidth="1"/>
    <col min="2" max="2" width="18.5703125" style="2" hidden="1" customWidth="1"/>
    <col min="3" max="3" width="19.7109375" style="2" customWidth="1"/>
    <col min="4" max="4" width="66.42578125" style="2" customWidth="1"/>
    <col min="5" max="5" width="10" style="3" bestFit="1" customWidth="1"/>
    <col min="6" max="6" width="14" style="3" bestFit="1" customWidth="1"/>
    <col min="7" max="7" width="10.7109375" style="3" bestFit="1" customWidth="1"/>
    <col min="8" max="8" width="8.28515625" style="3" customWidth="1"/>
    <col min="9" max="16384" width="9.140625" style="3"/>
  </cols>
  <sheetData>
    <row r="1" spans="1:14" ht="17.100000000000001" customHeight="1" x14ac:dyDescent="0.25">
      <c r="A1" s="1" t="s">
        <v>0</v>
      </c>
      <c r="B1" s="2" t="s">
        <v>1</v>
      </c>
      <c r="C1" s="2" t="str">
        <f t="shared" ref="C1:C17" si="0">CONCATENATE(A1," ",B1)</f>
        <v>1. számú melléklet</v>
      </c>
      <c r="D1" s="2" t="s">
        <v>527</v>
      </c>
    </row>
    <row r="2" spans="1:14" ht="17.100000000000001" customHeight="1" x14ac:dyDescent="0.25">
      <c r="A2" s="1" t="s">
        <v>2</v>
      </c>
      <c r="B2" s="2" t="s">
        <v>1</v>
      </c>
      <c r="C2" s="2" t="str">
        <f t="shared" si="0"/>
        <v>2. számú melléklet</v>
      </c>
      <c r="D2" s="2" t="s">
        <v>3</v>
      </c>
    </row>
    <row r="3" spans="1:14" ht="17.100000000000001" customHeight="1" x14ac:dyDescent="0.25">
      <c r="A3" s="1"/>
      <c r="C3" s="2" t="s">
        <v>776</v>
      </c>
      <c r="D3" s="2" t="s">
        <v>777</v>
      </c>
    </row>
    <row r="4" spans="1:14" ht="17.100000000000001" customHeight="1" x14ac:dyDescent="0.25">
      <c r="A4" s="1" t="s">
        <v>4</v>
      </c>
      <c r="B4" s="2" t="s">
        <v>1</v>
      </c>
      <c r="C4" s="2" t="str">
        <f t="shared" si="0"/>
        <v>3. számú melléklet</v>
      </c>
      <c r="D4" s="2" t="s">
        <v>778</v>
      </c>
    </row>
    <row r="5" spans="1:14" s="220" customFormat="1" ht="17.100000000000001" customHeight="1" x14ac:dyDescent="0.25">
      <c r="A5" s="219" t="s">
        <v>5</v>
      </c>
      <c r="B5" s="6" t="s">
        <v>1</v>
      </c>
      <c r="C5" s="6" t="str">
        <f t="shared" si="0"/>
        <v>3-1. számú melléklet</v>
      </c>
      <c r="D5" s="6" t="s">
        <v>6</v>
      </c>
    </row>
    <row r="6" spans="1:14" s="220" customFormat="1" ht="17.100000000000001" customHeight="1" x14ac:dyDescent="0.25">
      <c r="A6" s="5" t="s">
        <v>7</v>
      </c>
      <c r="B6" s="6" t="s">
        <v>1</v>
      </c>
      <c r="C6" s="6" t="str">
        <f t="shared" si="0"/>
        <v>4. számú melléklet</v>
      </c>
      <c r="D6" s="92" t="s">
        <v>8</v>
      </c>
    </row>
    <row r="7" spans="1:14" s="220" customFormat="1" ht="17.100000000000001" customHeight="1" x14ac:dyDescent="0.25">
      <c r="A7" s="5" t="s">
        <v>9</v>
      </c>
      <c r="B7" s="6" t="s">
        <v>1</v>
      </c>
      <c r="C7" s="6" t="str">
        <f t="shared" si="0"/>
        <v>5. számú melléklet</v>
      </c>
      <c r="D7" s="6" t="s">
        <v>10</v>
      </c>
    </row>
    <row r="8" spans="1:14" s="220" customFormat="1" ht="17.100000000000001" customHeight="1" x14ac:dyDescent="0.25">
      <c r="A8" s="5" t="s">
        <v>11</v>
      </c>
      <c r="B8" s="6" t="s">
        <v>1</v>
      </c>
      <c r="C8" s="6" t="str">
        <f t="shared" si="0"/>
        <v>6. számú melléklet</v>
      </c>
      <c r="D8" s="6" t="s">
        <v>540</v>
      </c>
    </row>
    <row r="9" spans="1:14" s="220" customFormat="1" ht="31.5" customHeight="1" x14ac:dyDescent="0.25">
      <c r="A9" s="219" t="s">
        <v>12</v>
      </c>
      <c r="B9" s="6" t="s">
        <v>1</v>
      </c>
      <c r="C9" s="6" t="str">
        <f t="shared" si="0"/>
        <v>6-1. számú melléklet</v>
      </c>
      <c r="D9" s="221" t="s">
        <v>779</v>
      </c>
      <c r="E9" s="6"/>
      <c r="F9" s="554"/>
      <c r="G9" s="554"/>
    </row>
    <row r="10" spans="1:14" s="220" customFormat="1" ht="17.100000000000001" customHeight="1" x14ac:dyDescent="0.25">
      <c r="A10" s="5" t="s">
        <v>13</v>
      </c>
      <c r="B10" s="6" t="s">
        <v>1</v>
      </c>
      <c r="C10" s="6" t="str">
        <f t="shared" si="0"/>
        <v>7. számú melléklet</v>
      </c>
      <c r="D10" s="6" t="s">
        <v>14</v>
      </c>
    </row>
    <row r="11" spans="1:14" s="220" customFormat="1" ht="17.100000000000001" customHeight="1" x14ac:dyDescent="0.25">
      <c r="A11" s="5" t="s">
        <v>15</v>
      </c>
      <c r="B11" s="6" t="s">
        <v>1</v>
      </c>
      <c r="C11" s="6" t="str">
        <f t="shared" si="0"/>
        <v>8. számú melléklet</v>
      </c>
      <c r="D11" s="6" t="s">
        <v>16</v>
      </c>
    </row>
    <row r="12" spans="1:14" s="220" customFormat="1" ht="17.100000000000001" customHeight="1" x14ac:dyDescent="0.25">
      <c r="A12" s="219" t="s">
        <v>17</v>
      </c>
      <c r="B12" s="6" t="s">
        <v>1</v>
      </c>
      <c r="C12" s="6" t="str">
        <f t="shared" si="0"/>
        <v>8-1. számú melléklet</v>
      </c>
      <c r="D12" s="6" t="s">
        <v>780</v>
      </c>
      <c r="E12" s="495"/>
      <c r="F12" s="495"/>
      <c r="I12" s="495"/>
      <c r="J12" s="495"/>
      <c r="K12" s="495"/>
      <c r="L12" s="495"/>
      <c r="M12" s="495"/>
      <c r="N12" s="495"/>
    </row>
    <row r="13" spans="1:14" s="220" customFormat="1" ht="17.100000000000001" customHeight="1" x14ac:dyDescent="0.25">
      <c r="A13" s="5" t="s">
        <v>18</v>
      </c>
      <c r="B13" s="6" t="s">
        <v>1</v>
      </c>
      <c r="C13" s="6" t="str">
        <f t="shared" si="0"/>
        <v>9. számú melléklet</v>
      </c>
      <c r="D13" s="6" t="s">
        <v>19</v>
      </c>
    </row>
    <row r="14" spans="1:14" s="220" customFormat="1" ht="17.100000000000001" customHeight="1" x14ac:dyDescent="0.25">
      <c r="A14" s="5" t="s">
        <v>20</v>
      </c>
      <c r="B14" s="6" t="s">
        <v>1</v>
      </c>
      <c r="C14" s="6" t="str">
        <f t="shared" si="0"/>
        <v>10. számú melléklet</v>
      </c>
      <c r="D14" s="6" t="s">
        <v>781</v>
      </c>
    </row>
    <row r="15" spans="1:14" s="220" customFormat="1" ht="16.5" customHeight="1" x14ac:dyDescent="0.25">
      <c r="A15" s="5" t="s">
        <v>21</v>
      </c>
      <c r="B15" s="6" t="s">
        <v>1</v>
      </c>
      <c r="C15" s="6" t="str">
        <f t="shared" si="0"/>
        <v>11. számú melléklet</v>
      </c>
      <c r="D15" s="6" t="s">
        <v>22</v>
      </c>
    </row>
    <row r="16" spans="1:14" s="220" customFormat="1" ht="15.75" customHeight="1" x14ac:dyDescent="0.25">
      <c r="A16" s="5" t="s">
        <v>23</v>
      </c>
      <c r="B16" s="6" t="s">
        <v>1</v>
      </c>
      <c r="C16" s="6" t="str">
        <f t="shared" si="0"/>
        <v>12. számú melléklet</v>
      </c>
      <c r="D16" s="6" t="s">
        <v>530</v>
      </c>
    </row>
    <row r="17" spans="1:9" ht="30" customHeight="1" x14ac:dyDescent="0.25">
      <c r="A17" s="1" t="s">
        <v>24</v>
      </c>
      <c r="B17" s="2" t="s">
        <v>1</v>
      </c>
      <c r="C17" s="2" t="str">
        <f t="shared" si="0"/>
        <v>13. számú melléklet</v>
      </c>
      <c r="D17" s="7" t="s">
        <v>445</v>
      </c>
    </row>
    <row r="18" spans="1:9" ht="30" customHeight="1" x14ac:dyDescent="0.25">
      <c r="A18" s="1" t="s">
        <v>24</v>
      </c>
      <c r="B18" s="2" t="s">
        <v>1</v>
      </c>
      <c r="C18" s="2" t="s">
        <v>547</v>
      </c>
      <c r="D18" s="7" t="s">
        <v>548</v>
      </c>
    </row>
    <row r="19" spans="1:9" ht="29.25" customHeight="1" x14ac:dyDescent="0.25">
      <c r="A19" s="1" t="s">
        <v>25</v>
      </c>
      <c r="B19" s="2" t="s">
        <v>1</v>
      </c>
      <c r="C19" s="2" t="str">
        <f t="shared" ref="C19:C26" si="1">CONCATENATE(A19," ",B19)</f>
        <v>14. számú melléklet</v>
      </c>
      <c r="D19" s="7" t="s">
        <v>26</v>
      </c>
    </row>
    <row r="20" spans="1:9" x14ac:dyDescent="0.25">
      <c r="A20" s="1"/>
      <c r="C20" s="2" t="s">
        <v>782</v>
      </c>
      <c r="D20" s="7" t="s">
        <v>717</v>
      </c>
    </row>
    <row r="21" spans="1:9" s="8" customFormat="1" ht="17.100000000000001" customHeight="1" x14ac:dyDescent="0.25">
      <c r="A21" s="1" t="s">
        <v>27</v>
      </c>
      <c r="B21" s="2" t="s">
        <v>1</v>
      </c>
      <c r="C21" s="2" t="str">
        <f t="shared" si="1"/>
        <v>15. számú melléklet</v>
      </c>
      <c r="D21" s="2" t="s">
        <v>775</v>
      </c>
    </row>
    <row r="22" spans="1:9" ht="17.100000000000001" customHeight="1" x14ac:dyDescent="0.25">
      <c r="A22" s="1" t="s">
        <v>28</v>
      </c>
      <c r="B22" s="2" t="s">
        <v>1</v>
      </c>
      <c r="C22" s="2" t="str">
        <f t="shared" si="1"/>
        <v>16. számú melléklet</v>
      </c>
      <c r="D22" s="2" t="s">
        <v>29</v>
      </c>
    </row>
    <row r="23" spans="1:9" ht="30" x14ac:dyDescent="0.25">
      <c r="A23" s="1" t="s">
        <v>30</v>
      </c>
      <c r="B23" s="2" t="s">
        <v>1</v>
      </c>
      <c r="C23" s="2" t="str">
        <f t="shared" si="1"/>
        <v>17. számú melléklet</v>
      </c>
      <c r="D23" s="7" t="s">
        <v>531</v>
      </c>
    </row>
    <row r="24" spans="1:9" ht="15" customHeight="1" x14ac:dyDescent="0.25">
      <c r="A24" s="4" t="s">
        <v>529</v>
      </c>
      <c r="B24" s="2" t="s">
        <v>1</v>
      </c>
      <c r="C24" s="2" t="str">
        <f t="shared" si="1"/>
        <v>17-1. számú melléklet</v>
      </c>
      <c r="D24" s="2" t="s">
        <v>532</v>
      </c>
      <c r="E24" s="2"/>
      <c r="F24" s="2"/>
      <c r="G24" s="2"/>
      <c r="H24" s="2"/>
      <c r="I24" s="2"/>
    </row>
    <row r="25" spans="1:9" ht="17.100000000000001" customHeight="1" x14ac:dyDescent="0.25">
      <c r="A25" s="9" t="s">
        <v>31</v>
      </c>
      <c r="B25" s="2" t="s">
        <v>1</v>
      </c>
      <c r="C25" s="2" t="str">
        <f t="shared" si="1"/>
        <v>18. számú melléklet</v>
      </c>
      <c r="D25" s="2" t="s">
        <v>635</v>
      </c>
    </row>
    <row r="26" spans="1:9" ht="17.100000000000001" customHeight="1" x14ac:dyDescent="0.25">
      <c r="A26" s="1" t="s">
        <v>32</v>
      </c>
      <c r="B26" s="2" t="s">
        <v>1</v>
      </c>
      <c r="C26" s="2" t="str">
        <f t="shared" si="1"/>
        <v>19. számú melléklet</v>
      </c>
      <c r="D26" s="2" t="s">
        <v>33</v>
      </c>
    </row>
    <row r="27" spans="1:9" ht="17.100000000000001" customHeight="1" x14ac:dyDescent="0.25">
      <c r="A27" s="4" t="s">
        <v>34</v>
      </c>
      <c r="B27" s="2" t="s">
        <v>1</v>
      </c>
      <c r="C27" s="2" t="str">
        <f t="shared" ref="C27:C36" si="2">CONCATENATE(A28," ",B28)</f>
        <v>20. számú melléklet</v>
      </c>
      <c r="D27" s="2" t="s">
        <v>783</v>
      </c>
    </row>
    <row r="28" spans="1:9" ht="17.100000000000001" customHeight="1" x14ac:dyDescent="0.25">
      <c r="A28" s="1" t="s">
        <v>35</v>
      </c>
      <c r="B28" s="2" t="s">
        <v>1</v>
      </c>
      <c r="C28" s="2" t="str">
        <f t="shared" si="2"/>
        <v>21. számú melléklet</v>
      </c>
      <c r="D28" s="2" t="s">
        <v>37</v>
      </c>
    </row>
    <row r="29" spans="1:9" ht="17.100000000000001" customHeight="1" x14ac:dyDescent="0.25">
      <c r="A29" s="1" t="s">
        <v>36</v>
      </c>
      <c r="B29" s="2" t="s">
        <v>1</v>
      </c>
      <c r="C29" s="2" t="str">
        <f t="shared" si="2"/>
        <v>22. számú melléklet</v>
      </c>
      <c r="D29" s="2" t="s">
        <v>39</v>
      </c>
    </row>
    <row r="30" spans="1:9" ht="17.100000000000001" customHeight="1" x14ac:dyDescent="0.25">
      <c r="A30" s="1" t="s">
        <v>38</v>
      </c>
      <c r="B30" s="2" t="s">
        <v>1</v>
      </c>
      <c r="C30" s="2" t="str">
        <f t="shared" si="2"/>
        <v>23. számú melléklet</v>
      </c>
      <c r="D30" s="2" t="s">
        <v>528</v>
      </c>
    </row>
    <row r="31" spans="1:9" ht="17.100000000000001" customHeight="1" x14ac:dyDescent="0.25">
      <c r="A31" s="1" t="s">
        <v>40</v>
      </c>
      <c r="B31" s="2" t="s">
        <v>1</v>
      </c>
      <c r="C31" s="2" t="str">
        <f t="shared" si="2"/>
        <v>24. számú melléklet</v>
      </c>
      <c r="D31" s="2" t="s">
        <v>42</v>
      </c>
    </row>
    <row r="32" spans="1:9" ht="17.100000000000001" customHeight="1" x14ac:dyDescent="0.25">
      <c r="A32" s="1" t="s">
        <v>41</v>
      </c>
      <c r="B32" s="2" t="s">
        <v>1</v>
      </c>
      <c r="C32" s="2" t="str">
        <f t="shared" si="2"/>
        <v>25. számú melléklet</v>
      </c>
      <c r="D32" s="2" t="s">
        <v>44</v>
      </c>
    </row>
    <row r="33" spans="1:4" s="220" customFormat="1" ht="17.100000000000001" customHeight="1" x14ac:dyDescent="0.25">
      <c r="A33" s="5" t="s">
        <v>43</v>
      </c>
      <c r="B33" s="6" t="s">
        <v>1</v>
      </c>
      <c r="C33" s="6" t="str">
        <f t="shared" si="2"/>
        <v>26. számú melléklet</v>
      </c>
      <c r="D33" s="6" t="s">
        <v>926</v>
      </c>
    </row>
    <row r="34" spans="1:4" s="220" customFormat="1" ht="17.100000000000001" customHeight="1" x14ac:dyDescent="0.25">
      <c r="A34" s="5" t="s">
        <v>45</v>
      </c>
      <c r="B34" s="6" t="s">
        <v>1</v>
      </c>
      <c r="C34" s="6" t="str">
        <f t="shared" si="2"/>
        <v>27. számú melléklet</v>
      </c>
      <c r="D34" s="6" t="s">
        <v>47</v>
      </c>
    </row>
    <row r="35" spans="1:4" ht="16.5" customHeight="1" x14ac:dyDescent="0.25">
      <c r="A35" s="1" t="s">
        <v>46</v>
      </c>
      <c r="B35" s="2" t="s">
        <v>1</v>
      </c>
      <c r="C35" s="2" t="str">
        <f t="shared" si="2"/>
        <v>28. számú melléklet</v>
      </c>
      <c r="D35" s="2" t="s">
        <v>49</v>
      </c>
    </row>
    <row r="36" spans="1:4" ht="16.5" customHeight="1" x14ac:dyDescent="0.25">
      <c r="A36" s="1" t="s">
        <v>48</v>
      </c>
      <c r="B36" s="2" t="s">
        <v>1</v>
      </c>
      <c r="C36" s="2" t="str">
        <f t="shared" si="2"/>
        <v>29. számú melléklet</v>
      </c>
      <c r="D36" s="2" t="s">
        <v>419</v>
      </c>
    </row>
    <row r="37" spans="1:4" ht="16.5" customHeight="1" x14ac:dyDescent="0.25">
      <c r="A37" s="1" t="s">
        <v>50</v>
      </c>
      <c r="B37" s="2" t="s">
        <v>1</v>
      </c>
      <c r="C37" s="2" t="s">
        <v>561</v>
      </c>
      <c r="D37" s="2" t="s">
        <v>566</v>
      </c>
    </row>
    <row r="38" spans="1:4" x14ac:dyDescent="0.25">
      <c r="C38" s="2" t="s">
        <v>784</v>
      </c>
      <c r="D38" s="2" t="s">
        <v>785</v>
      </c>
    </row>
    <row r="39" spans="1:4" x14ac:dyDescent="0.25">
      <c r="C39" s="2" t="s">
        <v>786</v>
      </c>
      <c r="D39" s="2" t="s">
        <v>937</v>
      </c>
    </row>
    <row r="40" spans="1:4" x14ac:dyDescent="0.25">
      <c r="C40" s="2" t="s">
        <v>943</v>
      </c>
      <c r="D40" s="2" t="s">
        <v>951</v>
      </c>
    </row>
  </sheetData>
  <pageMargins left="0.25" right="0.25" top="0.75" bottom="0.75" header="0.3" footer="0.3"/>
  <pageSetup paperSize="9" orientation="portrait" r:id="rId1"/>
  <headerFooter alignWithMargins="0">
    <oddHeader>&amp;C&amp;"Times New Roman CE,Félkövér"VIII. MELLÉKLETEK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Normal="100" zoomScaleSheetLayoutView="100" workbookViewId="0">
      <selection activeCell="E11" sqref="E11"/>
    </sheetView>
  </sheetViews>
  <sheetFormatPr defaultColWidth="9.140625" defaultRowHeight="15" x14ac:dyDescent="0.25"/>
  <cols>
    <col min="1" max="1" width="60.7109375" style="20" customWidth="1"/>
    <col min="2" max="2" width="17.140625" style="20" customWidth="1"/>
    <col min="3" max="3" width="15.85546875" style="20" bestFit="1" customWidth="1"/>
    <col min="4" max="4" width="9.140625" style="20"/>
    <col min="5" max="5" width="55.28515625" style="20" bestFit="1" customWidth="1"/>
    <col min="6" max="6" width="10.5703125" style="20" bestFit="1" customWidth="1"/>
    <col min="7" max="16384" width="9.140625" style="20"/>
  </cols>
  <sheetData>
    <row r="1" spans="1:7" ht="34.5" customHeight="1" x14ac:dyDescent="0.25">
      <c r="A1" s="621" t="s">
        <v>428</v>
      </c>
      <c r="B1" s="621"/>
    </row>
    <row r="2" spans="1:7" ht="89.25" customHeight="1" x14ac:dyDescent="0.25">
      <c r="A2" s="630" t="s">
        <v>935</v>
      </c>
      <c r="B2" s="630"/>
    </row>
    <row r="3" spans="1:7" ht="15" customHeight="1" x14ac:dyDescent="0.25">
      <c r="A3" s="277"/>
      <c r="B3" s="277"/>
    </row>
    <row r="4" spans="1:7" x14ac:dyDescent="0.25">
      <c r="A4" s="206" t="s">
        <v>113</v>
      </c>
    </row>
    <row r="5" spans="1:7" x14ac:dyDescent="0.25">
      <c r="A5" s="256"/>
    </row>
    <row r="6" spans="1:7" x14ac:dyDescent="0.25">
      <c r="A6" s="176" t="s">
        <v>463</v>
      </c>
      <c r="B6" s="33">
        <v>173</v>
      </c>
      <c r="F6" s="40"/>
      <c r="G6" s="40"/>
    </row>
    <row r="7" spans="1:7" x14ac:dyDescent="0.25">
      <c r="A7" s="450" t="s">
        <v>698</v>
      </c>
      <c r="B7" s="36">
        <f>'4. kiszállás díja'!C10</f>
        <v>5000</v>
      </c>
    </row>
    <row r="8" spans="1:7" x14ac:dyDescent="0.25">
      <c r="A8" s="457" t="s">
        <v>903</v>
      </c>
      <c r="B8" s="138">
        <f>ROUND(0.5*'3. rezsióradíj mérnökóradíj'!D4*2,0)</f>
        <v>4000</v>
      </c>
    </row>
    <row r="9" spans="1:7" x14ac:dyDescent="0.25">
      <c r="A9" s="53" t="s">
        <v>110</v>
      </c>
      <c r="B9" s="37">
        <f>SUM(B6:B8)</f>
        <v>9173</v>
      </c>
    </row>
    <row r="10" spans="1:7" x14ac:dyDescent="0.25">
      <c r="A10" s="52" t="s">
        <v>111</v>
      </c>
      <c r="B10" s="363">
        <f>ROUND((B9-B6)*0.2,0)</f>
        <v>1800</v>
      </c>
    </row>
    <row r="11" spans="1:7" x14ac:dyDescent="0.25">
      <c r="A11" s="53" t="s">
        <v>86</v>
      </c>
      <c r="B11" s="54">
        <f>SUM(B9:B10)</f>
        <v>10973</v>
      </c>
    </row>
    <row r="12" spans="1:7" x14ac:dyDescent="0.25">
      <c r="A12" s="280" t="s">
        <v>106</v>
      </c>
      <c r="B12" s="26">
        <f>ROUND(B11*0.27,0)</f>
        <v>2963</v>
      </c>
    </row>
    <row r="13" spans="1:7" s="56" customFormat="1" ht="30" customHeight="1" x14ac:dyDescent="0.25">
      <c r="A13" s="570" t="s">
        <v>107</v>
      </c>
      <c r="B13" s="568">
        <f>SUM(B11:B12)</f>
        <v>13936</v>
      </c>
      <c r="C13" s="20"/>
    </row>
    <row r="15" spans="1:7" x14ac:dyDescent="0.25">
      <c r="A15" s="42" t="s">
        <v>939</v>
      </c>
    </row>
    <row r="22" spans="2:11" x14ac:dyDescent="0.25">
      <c r="B22" s="355"/>
      <c r="C22" s="355"/>
    </row>
    <row r="23" spans="2:11" x14ac:dyDescent="0.25">
      <c r="D23" s="355"/>
      <c r="E23" s="355"/>
      <c r="F23" s="355"/>
      <c r="G23" s="355"/>
      <c r="H23" s="355"/>
      <c r="I23" s="355"/>
      <c r="J23" s="355"/>
      <c r="K23" s="355"/>
    </row>
    <row r="40" spans="2:6" x14ac:dyDescent="0.25">
      <c r="B40" s="355"/>
      <c r="C40" s="355"/>
      <c r="D40" s="355"/>
      <c r="E40" s="355"/>
      <c r="F40" s="355"/>
    </row>
    <row r="53" spans="2:4" x14ac:dyDescent="0.25">
      <c r="B53" s="355"/>
      <c r="C53" s="355"/>
      <c r="D53" s="355"/>
    </row>
  </sheetData>
  <mergeCells count="2">
    <mergeCell ref="A1:B1"/>
    <mergeCell ref="A2:B2"/>
  </mergeCells>
  <printOptions horizontalCentered="1"/>
  <pageMargins left="0.8" right="0.69" top="0.51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zoomScaleNormal="100" zoomScaleSheetLayoutView="100" workbookViewId="0">
      <selection activeCell="J16" sqref="J16"/>
    </sheetView>
  </sheetViews>
  <sheetFormatPr defaultColWidth="9.140625" defaultRowHeight="15" x14ac:dyDescent="0.25"/>
  <cols>
    <col min="1" max="1" width="55.140625" style="56" customWidth="1"/>
    <col min="2" max="4" width="15.5703125" style="56" customWidth="1"/>
    <col min="5" max="5" width="6.42578125" style="56" customWidth="1"/>
    <col min="6" max="6" width="6.85546875" style="56" bestFit="1" customWidth="1"/>
    <col min="7" max="7" width="8.28515625" style="56" bestFit="1" customWidth="1"/>
    <col min="8" max="8" width="9" style="56" bestFit="1" customWidth="1"/>
    <col min="9" max="16384" width="9.140625" style="56"/>
  </cols>
  <sheetData>
    <row r="1" spans="1:13" ht="37.5" customHeight="1" x14ac:dyDescent="0.25">
      <c r="A1" s="279"/>
      <c r="B1" s="285"/>
      <c r="C1" s="621" t="s">
        <v>429</v>
      </c>
      <c r="D1" s="621"/>
      <c r="E1" s="285"/>
      <c r="M1" s="285"/>
    </row>
    <row r="2" spans="1:13" ht="55.5" customHeight="1" x14ac:dyDescent="0.25">
      <c r="A2" s="626" t="s">
        <v>117</v>
      </c>
      <c r="B2" s="626"/>
      <c r="C2" s="626"/>
      <c r="D2" s="626"/>
      <c r="E2" s="39"/>
      <c r="F2" s="93"/>
    </row>
    <row r="3" spans="1:13" x14ac:dyDescent="0.25">
      <c r="A3" s="42"/>
      <c r="B3" s="42"/>
      <c r="C3" s="42"/>
      <c r="D3" s="42"/>
    </row>
    <row r="4" spans="1:13" x14ac:dyDescent="0.25">
      <c r="A4" s="111" t="s">
        <v>118</v>
      </c>
      <c r="B4" s="42"/>
      <c r="C4" s="42"/>
      <c r="D4" s="42"/>
      <c r="F4" s="631" t="s">
        <v>576</v>
      </c>
      <c r="G4" s="631"/>
      <c r="H4" s="631"/>
    </row>
    <row r="5" spans="1:13" ht="45" x14ac:dyDescent="0.25">
      <c r="A5" s="42"/>
      <c r="B5" s="43" t="s">
        <v>603</v>
      </c>
      <c r="C5" s="43" t="s">
        <v>604</v>
      </c>
      <c r="D5" s="43" t="s">
        <v>605</v>
      </c>
      <c r="F5" s="290" t="s">
        <v>575</v>
      </c>
      <c r="G5" s="290" t="s">
        <v>574</v>
      </c>
      <c r="H5" s="291" t="s">
        <v>573</v>
      </c>
    </row>
    <row r="6" spans="1:13" x14ac:dyDescent="0.25">
      <c r="A6" s="200" t="s">
        <v>463</v>
      </c>
      <c r="B6" s="153">
        <v>170</v>
      </c>
      <c r="C6" s="153">
        <v>170</v>
      </c>
      <c r="D6" s="153">
        <v>182</v>
      </c>
      <c r="F6" s="292" t="s">
        <v>572</v>
      </c>
      <c r="G6" s="293">
        <v>110</v>
      </c>
      <c r="H6" s="294">
        <f>ROUND(2746*1.23,0)</f>
        <v>3378</v>
      </c>
    </row>
    <row r="7" spans="1:13" x14ac:dyDescent="0.25">
      <c r="A7" s="200" t="s">
        <v>633</v>
      </c>
      <c r="B7" s="153">
        <f>H6*1.2</f>
        <v>4053.6</v>
      </c>
      <c r="C7" s="153">
        <f>H7*1.2</f>
        <v>4946.3999999999996</v>
      </c>
      <c r="D7" s="153">
        <f>H8*1.2</f>
        <v>5295.5999999999995</v>
      </c>
      <c r="F7" s="292" t="s">
        <v>572</v>
      </c>
      <c r="G7" s="293">
        <v>80</v>
      </c>
      <c r="H7" s="294">
        <f>ROUND(3351*1.23,0)</f>
        <v>4122</v>
      </c>
    </row>
    <row r="8" spans="1:13" x14ac:dyDescent="0.25">
      <c r="A8" s="200" t="s">
        <v>702</v>
      </c>
      <c r="B8" s="153">
        <f>ROUND(2*'3. rezsióradíj mérnökóradíj'!D4*2,0)</f>
        <v>16000</v>
      </c>
      <c r="C8" s="153">
        <f>B8</f>
        <v>16000</v>
      </c>
      <c r="D8" s="153">
        <f>B8</f>
        <v>16000</v>
      </c>
      <c r="F8" s="292" t="s">
        <v>571</v>
      </c>
      <c r="G8" s="295">
        <v>130</v>
      </c>
      <c r="H8" s="294">
        <f>ROUND(3588*1.23,0)</f>
        <v>4413</v>
      </c>
    </row>
    <row r="9" spans="1:13" x14ac:dyDescent="0.25">
      <c r="A9" s="63" t="s">
        <v>698</v>
      </c>
      <c r="B9" s="153">
        <f>'4. kiszállás díja'!C10</f>
        <v>5000</v>
      </c>
      <c r="C9" s="153">
        <f>B9</f>
        <v>5000</v>
      </c>
      <c r="D9" s="153">
        <f>B9</f>
        <v>5000</v>
      </c>
    </row>
    <row r="10" spans="1:13" x14ac:dyDescent="0.25">
      <c r="A10" s="223" t="s">
        <v>110</v>
      </c>
      <c r="B10" s="365">
        <f>SUM(B6:B9)</f>
        <v>25223.599999999999</v>
      </c>
      <c r="C10" s="258">
        <f t="shared" ref="C10:D10" si="0">SUM(C6:C9)</f>
        <v>26116.400000000001</v>
      </c>
      <c r="D10" s="258">
        <f t="shared" si="0"/>
        <v>26477.599999999999</v>
      </c>
    </row>
    <row r="11" spans="1:13" x14ac:dyDescent="0.25">
      <c r="A11" s="63" t="s">
        <v>111</v>
      </c>
      <c r="B11" s="313">
        <f>ROUND((B10-B7-B6)*0.2,0)</f>
        <v>4200</v>
      </c>
      <c r="C11" s="313">
        <f>ROUND((C10-C7-C6)*0.2,0)</f>
        <v>4200</v>
      </c>
      <c r="D11" s="313">
        <f>ROUND((D10-D7-D6)*0.2,0)</f>
        <v>4200</v>
      </c>
    </row>
    <row r="12" spans="1:13" x14ac:dyDescent="0.25">
      <c r="A12" s="222" t="s">
        <v>86</v>
      </c>
      <c r="B12" s="271">
        <f>B10+B11</f>
        <v>29423.599999999999</v>
      </c>
      <c r="C12" s="271">
        <f t="shared" ref="C12:D12" si="1">C10+C11</f>
        <v>30316.400000000001</v>
      </c>
      <c r="D12" s="271">
        <f t="shared" si="1"/>
        <v>30677.599999999999</v>
      </c>
    </row>
    <row r="13" spans="1:13" x14ac:dyDescent="0.25">
      <c r="A13" s="42" t="s">
        <v>120</v>
      </c>
      <c r="B13" s="153">
        <f>ROUND(B12*0.27,0)</f>
        <v>7944</v>
      </c>
      <c r="C13" s="153">
        <f t="shared" ref="C13:D13" si="2">ROUND(C12*0.27,0)</f>
        <v>8185</v>
      </c>
      <c r="D13" s="153">
        <f t="shared" si="2"/>
        <v>8283</v>
      </c>
    </row>
    <row r="14" spans="1:13" ht="30.75" customHeight="1" x14ac:dyDescent="0.25">
      <c r="A14" s="31" t="s">
        <v>107</v>
      </c>
      <c r="B14" s="571">
        <f>B12+B13</f>
        <v>37367.599999999999</v>
      </c>
      <c r="C14" s="571">
        <f t="shared" ref="C14:D14" si="3">C12+C13</f>
        <v>38501.4</v>
      </c>
      <c r="D14" s="571">
        <f t="shared" si="3"/>
        <v>38960.6</v>
      </c>
    </row>
    <row r="16" spans="1:13" x14ac:dyDescent="0.25">
      <c r="A16" s="56" t="s">
        <v>659</v>
      </c>
    </row>
    <row r="17" spans="1:6" x14ac:dyDescent="0.25">
      <c r="A17" s="56" t="s">
        <v>732</v>
      </c>
    </row>
    <row r="22" spans="1:6" x14ac:dyDescent="0.25">
      <c r="A22" s="356"/>
      <c r="B22" s="356"/>
      <c r="C22" s="356"/>
      <c r="D22" s="356"/>
      <c r="E22" s="356"/>
      <c r="F22" s="356"/>
    </row>
    <row r="39" spans="2:6" x14ac:dyDescent="0.25">
      <c r="B39" s="356"/>
      <c r="C39" s="356"/>
      <c r="D39" s="356"/>
      <c r="E39" s="356"/>
      <c r="F39" s="356"/>
    </row>
    <row r="52" spans="2:4" x14ac:dyDescent="0.25">
      <c r="B52" s="356"/>
      <c r="C52" s="356"/>
      <c r="D52" s="356"/>
    </row>
  </sheetData>
  <mergeCells count="3">
    <mergeCell ref="F4:H4"/>
    <mergeCell ref="C1:D1"/>
    <mergeCell ref="A2:D2"/>
  </mergeCells>
  <pageMargins left="0.7" right="0.7" top="0.75" bottom="0.75" header="0.3" footer="0.3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topLeftCell="A13" zoomScaleNormal="100" zoomScaleSheetLayoutView="100" workbookViewId="0">
      <selection activeCell="D28" sqref="D28"/>
    </sheetView>
  </sheetViews>
  <sheetFormatPr defaultColWidth="9.140625" defaultRowHeight="15" x14ac:dyDescent="0.25"/>
  <cols>
    <col min="1" max="1" width="64.42578125" style="61" customWidth="1"/>
    <col min="2" max="2" width="20" style="61" customWidth="1"/>
    <col min="3" max="4" width="15.28515625" style="61" customWidth="1"/>
    <col min="5" max="5" width="7.7109375" style="61" customWidth="1"/>
    <col min="6" max="16384" width="9.140625" style="61"/>
  </cols>
  <sheetData>
    <row r="1" spans="1:14" ht="33" customHeight="1" x14ac:dyDescent="0.25">
      <c r="A1" s="316"/>
      <c r="B1" s="632" t="s">
        <v>121</v>
      </c>
      <c r="C1" s="632"/>
      <c r="D1" s="632"/>
      <c r="N1" s="232"/>
    </row>
    <row r="2" spans="1:14" ht="43.5" customHeight="1" x14ac:dyDescent="0.25">
      <c r="A2" s="633" t="s">
        <v>97</v>
      </c>
      <c r="B2" s="633"/>
      <c r="C2" s="633"/>
      <c r="D2" s="633"/>
      <c r="E2" s="352"/>
    </row>
    <row r="3" spans="1:14" ht="31.5" customHeight="1" x14ac:dyDescent="0.25">
      <c r="A3" s="57"/>
      <c r="B3" s="278"/>
      <c r="C3" s="278"/>
      <c r="D3" s="278"/>
      <c r="E3" s="278"/>
    </row>
    <row r="4" spans="1:14" ht="15" customHeight="1" x14ac:dyDescent="0.25">
      <c r="A4" s="231" t="s">
        <v>118</v>
      </c>
      <c r="B4" s="278"/>
      <c r="C4" s="278"/>
      <c r="D4" s="278"/>
      <c r="F4" s="631" t="s">
        <v>576</v>
      </c>
      <c r="G4" s="631"/>
      <c r="H4" s="631"/>
    </row>
    <row r="5" spans="1:14" ht="45" x14ac:dyDescent="0.25">
      <c r="A5" s="225"/>
      <c r="B5" s="297" t="s">
        <v>603</v>
      </c>
      <c r="C5" s="297" t="s">
        <v>604</v>
      </c>
      <c r="D5" s="297" t="s">
        <v>605</v>
      </c>
      <c r="F5" s="290" t="s">
        <v>575</v>
      </c>
      <c r="G5" s="290" t="s">
        <v>574</v>
      </c>
      <c r="H5" s="291" t="s">
        <v>573</v>
      </c>
    </row>
    <row r="6" spans="1:14" ht="15" customHeight="1" x14ac:dyDescent="0.25">
      <c r="A6" s="230" t="s">
        <v>463</v>
      </c>
      <c r="B6" s="297">
        <f>170</f>
        <v>170</v>
      </c>
      <c r="C6" s="307">
        <f>170</f>
        <v>170</v>
      </c>
      <c r="D6" s="183">
        <v>182</v>
      </c>
      <c r="F6" s="292" t="s">
        <v>572</v>
      </c>
      <c r="G6" s="293">
        <v>110</v>
      </c>
      <c r="H6" s="294">
        <f>ROUND(2746*1.23,0)</f>
        <v>3378</v>
      </c>
    </row>
    <row r="7" spans="1:14" ht="15" customHeight="1" x14ac:dyDescent="0.25">
      <c r="A7" s="230" t="s">
        <v>632</v>
      </c>
      <c r="B7" s="183">
        <f>ROUND(H6*1.2,0)</f>
        <v>4054</v>
      </c>
      <c r="C7" s="183">
        <f>ROUND(H7*1.2,0)</f>
        <v>4946</v>
      </c>
      <c r="D7" s="183">
        <f>ROUND(H8*1.2,0)</f>
        <v>5296</v>
      </c>
      <c r="F7" s="292" t="s">
        <v>572</v>
      </c>
      <c r="G7" s="293">
        <v>80</v>
      </c>
      <c r="H7" s="294">
        <f>ROUND(3351*1.23,0)</f>
        <v>4122</v>
      </c>
    </row>
    <row r="8" spans="1:14" x14ac:dyDescent="0.25">
      <c r="A8" s="200" t="s">
        <v>904</v>
      </c>
      <c r="B8" s="183">
        <f>ROUND(1.25*'3. rezsióradíj mérnökóradíj'!D4*2,0)</f>
        <v>10000</v>
      </c>
      <c r="C8" s="183">
        <f>B8</f>
        <v>10000</v>
      </c>
      <c r="D8" s="183">
        <f>B8</f>
        <v>10000</v>
      </c>
      <c r="F8" s="292" t="s">
        <v>571</v>
      </c>
      <c r="G8" s="295">
        <v>130</v>
      </c>
      <c r="H8" s="294">
        <f>ROUND(3588*1.23,0)</f>
        <v>4413</v>
      </c>
    </row>
    <row r="9" spans="1:14" x14ac:dyDescent="0.25">
      <c r="A9" s="200" t="s">
        <v>701</v>
      </c>
      <c r="B9" s="140">
        <f>ROUND(('4. kiszállás díja'!C10/6),0)</f>
        <v>833</v>
      </c>
      <c r="C9" s="140">
        <f>B9</f>
        <v>833</v>
      </c>
      <c r="D9" s="140">
        <f>B9</f>
        <v>833</v>
      </c>
    </row>
    <row r="10" spans="1:14" x14ac:dyDescent="0.25">
      <c r="A10" s="229" t="s">
        <v>122</v>
      </c>
      <c r="B10" s="362">
        <f>SUM(B6:B9)</f>
        <v>15057</v>
      </c>
      <c r="C10" s="224">
        <f t="shared" ref="C10:D10" si="0">SUM(C6:C9)</f>
        <v>15949</v>
      </c>
      <c r="D10" s="224">
        <f t="shared" si="0"/>
        <v>16311</v>
      </c>
    </row>
    <row r="11" spans="1:14" x14ac:dyDescent="0.25">
      <c r="A11" s="228" t="s">
        <v>111</v>
      </c>
      <c r="B11" s="140">
        <f>ROUND((B8+B9)*0.2,0)</f>
        <v>2167</v>
      </c>
      <c r="C11" s="140">
        <f t="shared" ref="C11:D11" si="1">ROUND((C8+C9)*0.2,0)</f>
        <v>2167</v>
      </c>
      <c r="D11" s="140">
        <f t="shared" si="1"/>
        <v>2167</v>
      </c>
    </row>
    <row r="12" spans="1:14" x14ac:dyDescent="0.25">
      <c r="A12" s="227" t="s">
        <v>86</v>
      </c>
      <c r="B12" s="226">
        <f>SUM(B10:B11)</f>
        <v>17224</v>
      </c>
      <c r="C12" s="226">
        <f t="shared" ref="C12:D12" si="2">SUM(C10:C11)</f>
        <v>18116</v>
      </c>
      <c r="D12" s="226">
        <f t="shared" si="2"/>
        <v>18478</v>
      </c>
    </row>
    <row r="13" spans="1:14" x14ac:dyDescent="0.25">
      <c r="A13" s="225" t="s">
        <v>106</v>
      </c>
      <c r="B13" s="224">
        <f>ROUND(B12*0.27,0)</f>
        <v>4650</v>
      </c>
      <c r="C13" s="224">
        <f t="shared" ref="C13:D13" si="3">ROUND(C12*0.27,0)</f>
        <v>4891</v>
      </c>
      <c r="D13" s="224">
        <f t="shared" si="3"/>
        <v>4989</v>
      </c>
    </row>
    <row r="14" spans="1:14" ht="32.25" customHeight="1" x14ac:dyDescent="0.25">
      <c r="A14" s="60" t="s">
        <v>107</v>
      </c>
      <c r="B14" s="568">
        <f>SUM(B12:B13)</f>
        <v>21874</v>
      </c>
      <c r="C14" s="568">
        <f>SUM(C12:C13)</f>
        <v>23007</v>
      </c>
      <c r="D14" s="568">
        <f>SUM(D12:D13)</f>
        <v>23467</v>
      </c>
    </row>
    <row r="18" spans="1:11" x14ac:dyDescent="0.25">
      <c r="A18" s="61" t="s">
        <v>533</v>
      </c>
      <c r="F18" s="631" t="s">
        <v>576</v>
      </c>
      <c r="G18" s="631"/>
      <c r="H18" s="631"/>
    </row>
    <row r="19" spans="1:11" ht="45" x14ac:dyDescent="0.25">
      <c r="B19" s="390" t="s">
        <v>660</v>
      </c>
      <c r="C19" s="297" t="s">
        <v>605</v>
      </c>
      <c r="F19" s="290" t="s">
        <v>575</v>
      </c>
      <c r="G19" s="290" t="s">
        <v>574</v>
      </c>
      <c r="H19" s="291" t="s">
        <v>573</v>
      </c>
    </row>
    <row r="20" spans="1:11" x14ac:dyDescent="0.25">
      <c r="A20" s="230" t="s">
        <v>463</v>
      </c>
      <c r="B20" s="183">
        <v>170</v>
      </c>
      <c r="C20" s="183">
        <v>182</v>
      </c>
      <c r="D20" s="183"/>
      <c r="F20" s="292" t="s">
        <v>572</v>
      </c>
      <c r="G20" s="296" t="s">
        <v>577</v>
      </c>
      <c r="H20" s="294">
        <f>ROUND(19280*1.23,0)</f>
        <v>23714</v>
      </c>
    </row>
    <row r="21" spans="1:11" x14ac:dyDescent="0.25">
      <c r="A21" s="230" t="s">
        <v>763</v>
      </c>
      <c r="B21" s="183">
        <f>ROUND(H20*1.2,0)</f>
        <v>28457</v>
      </c>
      <c r="C21" s="183">
        <f>ROUND(H21*1.2,0)</f>
        <v>29594</v>
      </c>
      <c r="D21" s="183"/>
      <c r="F21" s="292" t="s">
        <v>571</v>
      </c>
      <c r="G21" s="295">
        <v>130</v>
      </c>
      <c r="H21" s="294">
        <f>ROUND(20050*1.23,0)</f>
        <v>24662</v>
      </c>
    </row>
    <row r="22" spans="1:11" s="378" customFormat="1" x14ac:dyDescent="0.25">
      <c r="A22" s="230" t="s">
        <v>704</v>
      </c>
      <c r="B22" s="183">
        <f>ROUND(0.5*'3. rezsióradíj mérnökóradíj'!D4*2,0)</f>
        <v>4000</v>
      </c>
      <c r="C22" s="183">
        <f>B22</f>
        <v>4000</v>
      </c>
      <c r="D22" s="377"/>
      <c r="F22" s="379"/>
      <c r="G22" s="380"/>
      <c r="H22" s="381"/>
      <c r="I22" s="61"/>
    </row>
    <row r="23" spans="1:11" x14ac:dyDescent="0.25">
      <c r="A23" s="200" t="s">
        <v>703</v>
      </c>
      <c r="B23" s="183">
        <f>ROUND(1*'3. rezsióradíj mérnökóradíj'!D4*2,0)</f>
        <v>8000</v>
      </c>
      <c r="C23" s="183">
        <f>B23</f>
        <v>8000</v>
      </c>
      <c r="D23" s="183"/>
    </row>
    <row r="24" spans="1:11" x14ac:dyDescent="0.25">
      <c r="A24" s="200" t="s">
        <v>701</v>
      </c>
      <c r="B24" s="140">
        <f>ROUND(('4. kiszállás díja'!C10/6),0)</f>
        <v>833</v>
      </c>
      <c r="C24" s="140">
        <f>B24</f>
        <v>833</v>
      </c>
      <c r="D24" s="183"/>
    </row>
    <row r="25" spans="1:11" x14ac:dyDescent="0.25">
      <c r="A25" s="229" t="s">
        <v>122</v>
      </c>
      <c r="B25" s="224">
        <f>SUM(B20:B24)</f>
        <v>41460</v>
      </c>
      <c r="C25" s="224">
        <f>SUM(C20:C24)</f>
        <v>42609</v>
      </c>
      <c r="D25" s="357"/>
      <c r="E25" s="358"/>
      <c r="F25" s="358"/>
      <c r="G25" s="358"/>
      <c r="H25" s="358"/>
      <c r="I25" s="358"/>
      <c r="J25" s="358"/>
      <c r="K25" s="358"/>
    </row>
    <row r="26" spans="1:11" x14ac:dyDescent="0.25">
      <c r="A26" s="228" t="s">
        <v>111</v>
      </c>
      <c r="B26" s="140">
        <f>ROUND((B23+B24)*0.2,0)</f>
        <v>1767</v>
      </c>
      <c r="C26" s="140">
        <f>ROUND((C23+C24)*0.2,0)</f>
        <v>1767</v>
      </c>
      <c r="D26" s="183"/>
    </row>
    <row r="27" spans="1:11" x14ac:dyDescent="0.25">
      <c r="A27" s="227" t="s">
        <v>86</v>
      </c>
      <c r="B27" s="226">
        <f>SUM(B25:B26)</f>
        <v>43227</v>
      </c>
      <c r="C27" s="226">
        <f>SUM(C25:C26)</f>
        <v>44376</v>
      </c>
      <c r="D27" s="226"/>
    </row>
    <row r="28" spans="1:11" x14ac:dyDescent="0.25">
      <c r="A28" s="225" t="s">
        <v>106</v>
      </c>
      <c r="B28" s="224">
        <f>ROUND(B27*0.27,0)</f>
        <v>11671</v>
      </c>
      <c r="C28" s="224">
        <f>ROUND(C27*0.27,0)</f>
        <v>11982</v>
      </c>
      <c r="D28" s="224"/>
    </row>
    <row r="29" spans="1:11" ht="30" customHeight="1" x14ac:dyDescent="0.25">
      <c r="A29" s="60" t="s">
        <v>107</v>
      </c>
      <c r="B29" s="568">
        <f>SUM(B27:B28)</f>
        <v>54898</v>
      </c>
      <c r="C29" s="568">
        <f>SUM(C27:C28)</f>
        <v>56358</v>
      </c>
      <c r="D29" s="257"/>
    </row>
    <row r="32" spans="1:11" x14ac:dyDescent="0.25">
      <c r="A32" s="61" t="s">
        <v>677</v>
      </c>
    </row>
    <row r="34" spans="1:3" x14ac:dyDescent="0.25">
      <c r="A34" s="230" t="s">
        <v>704</v>
      </c>
      <c r="B34" s="183">
        <f>ROUND((0.5*'3. rezsióradíj mérnökóradíj'!D4*2),0)</f>
        <v>4000</v>
      </c>
      <c r="C34" s="183">
        <f t="shared" ref="C34:C40" si="4">B34</f>
        <v>4000</v>
      </c>
    </row>
    <row r="35" spans="1:3" x14ac:dyDescent="0.25">
      <c r="A35" s="200" t="s">
        <v>701</v>
      </c>
      <c r="B35" s="140">
        <f>ROUND(('4. kiszállás díja'!C10/6),0)</f>
        <v>833</v>
      </c>
      <c r="C35" s="140">
        <f t="shared" si="4"/>
        <v>833</v>
      </c>
    </row>
    <row r="36" spans="1:3" x14ac:dyDescent="0.25">
      <c r="A36" s="229" t="s">
        <v>122</v>
      </c>
      <c r="B36" s="183">
        <f>B34+B35</f>
        <v>4833</v>
      </c>
      <c r="C36" s="183">
        <f t="shared" si="4"/>
        <v>4833</v>
      </c>
    </row>
    <row r="37" spans="1:3" x14ac:dyDescent="0.25">
      <c r="A37" s="228" t="s">
        <v>111</v>
      </c>
      <c r="B37" s="140">
        <f>ROUND((B36*0.2),0)</f>
        <v>967</v>
      </c>
      <c r="C37" s="140">
        <f t="shared" si="4"/>
        <v>967</v>
      </c>
    </row>
    <row r="38" spans="1:3" x14ac:dyDescent="0.25">
      <c r="A38" s="227" t="s">
        <v>86</v>
      </c>
      <c r="B38" s="183">
        <f>B36+B37</f>
        <v>5800</v>
      </c>
      <c r="C38" s="183">
        <f t="shared" si="4"/>
        <v>5800</v>
      </c>
    </row>
    <row r="39" spans="1:3" x14ac:dyDescent="0.25">
      <c r="A39" s="225" t="s">
        <v>106</v>
      </c>
      <c r="B39" s="140">
        <f>ROUND((B38*0.27),0)</f>
        <v>1566</v>
      </c>
      <c r="C39" s="140">
        <f t="shared" si="4"/>
        <v>1566</v>
      </c>
    </row>
    <row r="40" spans="1:3" ht="30" customHeight="1" x14ac:dyDescent="0.25">
      <c r="A40" s="60" t="s">
        <v>107</v>
      </c>
      <c r="B40" s="38">
        <f>B38+B39</f>
        <v>7366</v>
      </c>
      <c r="C40" s="38">
        <f t="shared" si="4"/>
        <v>7366</v>
      </c>
    </row>
    <row r="41" spans="1:3" x14ac:dyDescent="0.25">
      <c r="A41" s="227"/>
    </row>
    <row r="42" spans="1:3" x14ac:dyDescent="0.25">
      <c r="A42" s="42" t="s">
        <v>733</v>
      </c>
    </row>
    <row r="43" spans="1:3" x14ac:dyDescent="0.25">
      <c r="A43" s="61" t="s">
        <v>905</v>
      </c>
    </row>
    <row r="49" spans="2:6" x14ac:dyDescent="0.25">
      <c r="B49" s="358"/>
      <c r="C49" s="358"/>
      <c r="D49" s="358"/>
      <c r="E49" s="358"/>
      <c r="F49" s="358"/>
    </row>
    <row r="62" spans="2:6" x14ac:dyDescent="0.25">
      <c r="B62" s="358"/>
      <c r="C62" s="358"/>
      <c r="D62" s="358"/>
    </row>
  </sheetData>
  <mergeCells count="4">
    <mergeCell ref="F4:H4"/>
    <mergeCell ref="F18:H18"/>
    <mergeCell ref="B1:D1"/>
    <mergeCell ref="A2:D2"/>
  </mergeCells>
  <pageMargins left="0.7" right="0.7" top="0.75" bottom="0.75" header="0.3" footer="0.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zoomScaleNormal="100" zoomScaleSheetLayoutView="100" workbookViewId="0">
      <selection activeCell="A17" sqref="A17"/>
    </sheetView>
  </sheetViews>
  <sheetFormatPr defaultColWidth="9.140625" defaultRowHeight="15" x14ac:dyDescent="0.25"/>
  <cols>
    <col min="1" max="1" width="47.28515625" style="56" customWidth="1"/>
    <col min="2" max="6" width="11.7109375" style="56" bestFit="1" customWidth="1"/>
    <col min="7" max="10" width="12.7109375" style="56" customWidth="1"/>
    <col min="11" max="16384" width="9.140625" style="56"/>
  </cols>
  <sheetData>
    <row r="1" spans="1:12" ht="33" customHeight="1" x14ac:dyDescent="0.25">
      <c r="A1" s="634"/>
      <c r="B1" s="634"/>
      <c r="C1" s="634"/>
      <c r="D1" s="285"/>
      <c r="E1" s="285"/>
      <c r="F1" s="285"/>
      <c r="G1" s="285"/>
      <c r="H1" s="621" t="s">
        <v>765</v>
      </c>
      <c r="I1" s="621"/>
      <c r="J1" s="621"/>
      <c r="L1" s="19"/>
    </row>
    <row r="2" spans="1:12" ht="43.5" customHeight="1" x14ac:dyDescent="0.25">
      <c r="A2" s="630" t="s">
        <v>760</v>
      </c>
      <c r="B2" s="630"/>
      <c r="C2" s="630"/>
      <c r="D2" s="630"/>
      <c r="E2" s="630"/>
      <c r="F2" s="630"/>
      <c r="G2" s="630"/>
      <c r="H2" s="630"/>
      <c r="I2" s="630"/>
      <c r="J2" s="630"/>
    </row>
    <row r="3" spans="1:12" ht="15" customHeight="1" x14ac:dyDescent="0.25">
      <c r="A3" s="369"/>
      <c r="B3" s="369"/>
      <c r="C3" s="369"/>
    </row>
    <row r="4" spans="1:12" ht="15" customHeight="1" x14ac:dyDescent="0.25">
      <c r="A4" s="111" t="s">
        <v>118</v>
      </c>
      <c r="B4" s="369"/>
      <c r="C4" s="369"/>
    </row>
    <row r="5" spans="1:12" ht="22.5" customHeight="1" x14ac:dyDescent="0.25">
      <c r="B5" s="388"/>
      <c r="C5" s="42"/>
      <c r="G5" s="635"/>
      <c r="H5" s="635"/>
      <c r="I5" s="635"/>
      <c r="J5" s="635"/>
    </row>
    <row r="6" spans="1:12" ht="24.75" customHeight="1" x14ac:dyDescent="0.25">
      <c r="A6" s="42"/>
      <c r="B6" s="458" t="s">
        <v>607</v>
      </c>
      <c r="C6" s="62" t="s">
        <v>606</v>
      </c>
      <c r="D6" s="62" t="s">
        <v>734</v>
      </c>
      <c r="E6" s="62" t="s">
        <v>658</v>
      </c>
      <c r="F6" s="62" t="s">
        <v>735</v>
      </c>
      <c r="G6" s="389" t="s">
        <v>583</v>
      </c>
      <c r="H6" s="389" t="s">
        <v>582</v>
      </c>
      <c r="I6" s="389" t="s">
        <v>581</v>
      </c>
      <c r="J6" s="389" t="s">
        <v>580</v>
      </c>
    </row>
    <row r="7" spans="1:12" x14ac:dyDescent="0.25">
      <c r="A7" s="230" t="s">
        <v>463</v>
      </c>
      <c r="B7" s="139">
        <v>170</v>
      </c>
      <c r="C7" s="139">
        <v>182</v>
      </c>
      <c r="D7" s="139">
        <v>204</v>
      </c>
      <c r="E7" s="139">
        <v>247</v>
      </c>
      <c r="F7" s="139">
        <f t="shared" ref="F7" si="0">ROUND(144*1.2,0)</f>
        <v>173</v>
      </c>
      <c r="G7" s="139">
        <v>173</v>
      </c>
      <c r="H7" s="139">
        <v>173</v>
      </c>
      <c r="I7" s="139">
        <v>173</v>
      </c>
      <c r="J7" s="139">
        <v>173</v>
      </c>
    </row>
    <row r="8" spans="1:12" x14ac:dyDescent="0.25">
      <c r="A8" s="200" t="s">
        <v>631</v>
      </c>
      <c r="B8" s="139">
        <f>ROUND(5864*1.23*1.2,0)</f>
        <v>8655</v>
      </c>
      <c r="C8" s="139">
        <f>ROUND(5866*1.23*1.2,0)</f>
        <v>8658</v>
      </c>
      <c r="D8" s="183">
        <f>ROUND(10154*1.23*1.2,0)</f>
        <v>14987</v>
      </c>
      <c r="E8" s="183">
        <f>ROUND(12412*1.23*1.2,0)</f>
        <v>18320</v>
      </c>
      <c r="F8" s="139">
        <f>ROUND(22176*1.23*1.2,0)</f>
        <v>32732</v>
      </c>
      <c r="G8" s="139">
        <f>ROUND(43055*1.23*1.2,0)</f>
        <v>63549</v>
      </c>
      <c r="H8" s="139">
        <f>ROUND(50990*1.23*1.2,0)</f>
        <v>75261</v>
      </c>
      <c r="I8" s="139">
        <f>ROUND(55200*1.23*1.2,0)</f>
        <v>81475</v>
      </c>
      <c r="J8" s="139">
        <f>ROUND(61300*1.23*1.2,0)</f>
        <v>90479</v>
      </c>
    </row>
    <row r="9" spans="1:12" x14ac:dyDescent="0.25">
      <c r="A9" s="459" t="s">
        <v>705</v>
      </c>
      <c r="B9" s="183">
        <f>ROUND(1*'3. rezsióradíj mérnökóradíj'!D4*2,0)</f>
        <v>8000</v>
      </c>
      <c r="C9" s="183">
        <f>B9</f>
        <v>8000</v>
      </c>
      <c r="D9" s="183">
        <f>C9</f>
        <v>8000</v>
      </c>
      <c r="E9" s="183">
        <f>ROUND(1.5*'3. rezsióradíj mérnökóradíj'!D4*2,0)</f>
        <v>12000</v>
      </c>
      <c r="F9" s="183">
        <f>E9</f>
        <v>12000</v>
      </c>
      <c r="G9" s="183">
        <f>ROUND(2*'3. rezsióradíj mérnökóradíj'!D4*2,0)</f>
        <v>16000</v>
      </c>
      <c r="H9" s="183">
        <f>G9</f>
        <v>16000</v>
      </c>
      <c r="I9" s="183">
        <f>G9</f>
        <v>16000</v>
      </c>
      <c r="J9" s="183">
        <f>G9</f>
        <v>16000</v>
      </c>
    </row>
    <row r="10" spans="1:12" x14ac:dyDescent="0.25">
      <c r="A10" s="63" t="s">
        <v>698</v>
      </c>
      <c r="B10" s="308">
        <f>'4. kiszállás díja'!C10</f>
        <v>5000</v>
      </c>
      <c r="C10" s="140">
        <f>B10</f>
        <v>5000</v>
      </c>
      <c r="D10" s="140">
        <f>B10</f>
        <v>5000</v>
      </c>
      <c r="E10" s="140">
        <f>B10</f>
        <v>5000</v>
      </c>
      <c r="F10" s="140">
        <f>B10</f>
        <v>5000</v>
      </c>
      <c r="G10" s="140">
        <f>B10</f>
        <v>5000</v>
      </c>
      <c r="H10" s="140">
        <f>B10</f>
        <v>5000</v>
      </c>
      <c r="I10" s="140">
        <f>B10</f>
        <v>5000</v>
      </c>
      <c r="J10" s="140">
        <f>B10</f>
        <v>5000</v>
      </c>
    </row>
    <row r="11" spans="1:12" x14ac:dyDescent="0.25">
      <c r="A11" s="202" t="s">
        <v>122</v>
      </c>
      <c r="B11" s="139">
        <f t="shared" ref="B11:J11" si="1">SUM(B7:B10)</f>
        <v>21825</v>
      </c>
      <c r="C11" s="139">
        <f t="shared" si="1"/>
        <v>21840</v>
      </c>
      <c r="D11" s="139">
        <f t="shared" si="1"/>
        <v>28191</v>
      </c>
      <c r="E11" s="139">
        <f t="shared" si="1"/>
        <v>35567</v>
      </c>
      <c r="F11" s="139">
        <f t="shared" si="1"/>
        <v>49905</v>
      </c>
      <c r="G11" s="139">
        <f t="shared" si="1"/>
        <v>84722</v>
      </c>
      <c r="H11" s="139">
        <f t="shared" si="1"/>
        <v>96434</v>
      </c>
      <c r="I11" s="139">
        <f t="shared" si="1"/>
        <v>102648</v>
      </c>
      <c r="J11" s="139">
        <f t="shared" si="1"/>
        <v>111652</v>
      </c>
    </row>
    <row r="12" spans="1:12" ht="30" x14ac:dyDescent="0.25">
      <c r="A12" s="199" t="s">
        <v>111</v>
      </c>
      <c r="B12" s="140">
        <f t="shared" ref="B12:J12" si="2">ROUND((B9+B10)*0.2,0)</f>
        <v>2600</v>
      </c>
      <c r="C12" s="140">
        <f t="shared" si="2"/>
        <v>2600</v>
      </c>
      <c r="D12" s="140">
        <f t="shared" si="2"/>
        <v>2600</v>
      </c>
      <c r="E12" s="140">
        <f t="shared" si="2"/>
        <v>3400</v>
      </c>
      <c r="F12" s="140">
        <f t="shared" si="2"/>
        <v>3400</v>
      </c>
      <c r="G12" s="140">
        <f t="shared" si="2"/>
        <v>4200</v>
      </c>
      <c r="H12" s="140">
        <f t="shared" si="2"/>
        <v>4200</v>
      </c>
      <c r="I12" s="140">
        <f t="shared" si="2"/>
        <v>4200</v>
      </c>
      <c r="J12" s="140">
        <f t="shared" si="2"/>
        <v>4200</v>
      </c>
    </row>
    <row r="13" spans="1:12" x14ac:dyDescent="0.25">
      <c r="A13" s="202" t="s">
        <v>86</v>
      </c>
      <c r="B13" s="233">
        <f t="shared" ref="B13:J13" si="3">SUM(B11:B12)</f>
        <v>24425</v>
      </c>
      <c r="C13" s="233">
        <f t="shared" si="3"/>
        <v>24440</v>
      </c>
      <c r="D13" s="233">
        <f t="shared" si="3"/>
        <v>30791</v>
      </c>
      <c r="E13" s="233">
        <f t="shared" si="3"/>
        <v>38967</v>
      </c>
      <c r="F13" s="233">
        <f t="shared" si="3"/>
        <v>53305</v>
      </c>
      <c r="G13" s="233">
        <f t="shared" si="3"/>
        <v>88922</v>
      </c>
      <c r="H13" s="233">
        <f t="shared" si="3"/>
        <v>100634</v>
      </c>
      <c r="I13" s="233">
        <f t="shared" si="3"/>
        <v>106848</v>
      </c>
      <c r="J13" s="233">
        <f t="shared" si="3"/>
        <v>115852</v>
      </c>
    </row>
    <row r="14" spans="1:12" x14ac:dyDescent="0.25">
      <c r="A14" s="200" t="s">
        <v>106</v>
      </c>
      <c r="B14" s="139">
        <f>ROUND(B13*0.27,0)</f>
        <v>6595</v>
      </c>
      <c r="C14" s="139">
        <f>ROUND(C13*0.27,0)</f>
        <v>6599</v>
      </c>
      <c r="D14" s="139">
        <f>ROUND(D13*0.27,0)</f>
        <v>8314</v>
      </c>
      <c r="E14" s="139">
        <f>ROUND(E13*0.27,0)</f>
        <v>10521</v>
      </c>
      <c r="F14" s="139">
        <f t="shared" ref="F14" si="4">ROUND(F13*0.27,0)</f>
        <v>14392</v>
      </c>
      <c r="G14" s="139">
        <f>ROUND(G13*0.27,0)</f>
        <v>24009</v>
      </c>
      <c r="H14" s="139">
        <f>ROUND(H13*0.27,0)</f>
        <v>27171</v>
      </c>
      <c r="I14" s="139">
        <f>ROUND(I13*0.27,0)</f>
        <v>28849</v>
      </c>
      <c r="J14" s="139">
        <f>ROUND(J13*0.27,0)</f>
        <v>31280</v>
      </c>
    </row>
    <row r="15" spans="1:12" ht="32.25" customHeight="1" x14ac:dyDescent="0.25">
      <c r="A15" s="65" t="s">
        <v>107</v>
      </c>
      <c r="B15" s="38">
        <f>ROUND(SUM(B13:B14),0)</f>
        <v>31020</v>
      </c>
      <c r="C15" s="38">
        <f t="shared" ref="C15:J15" si="5">ROUND(SUM(C13:C14),0)</f>
        <v>31039</v>
      </c>
      <c r="D15" s="38">
        <f t="shared" si="5"/>
        <v>39105</v>
      </c>
      <c r="E15" s="38">
        <f t="shared" si="5"/>
        <v>49488</v>
      </c>
      <c r="F15" s="38">
        <f t="shared" si="5"/>
        <v>67697</v>
      </c>
      <c r="G15" s="38">
        <f t="shared" si="5"/>
        <v>112931</v>
      </c>
      <c r="H15" s="38">
        <f t="shared" si="5"/>
        <v>127805</v>
      </c>
      <c r="I15" s="38">
        <f t="shared" si="5"/>
        <v>135697</v>
      </c>
      <c r="J15" s="38">
        <f t="shared" si="5"/>
        <v>147132</v>
      </c>
    </row>
    <row r="17" spans="1:9" x14ac:dyDescent="0.25">
      <c r="A17" s="56" t="s">
        <v>659</v>
      </c>
      <c r="G17" s="382"/>
      <c r="H17" s="383"/>
      <c r="I17" s="383"/>
    </row>
    <row r="23" spans="1:9" x14ac:dyDescent="0.25">
      <c r="A23" s="356"/>
    </row>
    <row r="39" spans="2:6" x14ac:dyDescent="0.25">
      <c r="B39" s="356"/>
      <c r="C39" s="356"/>
      <c r="D39" s="356"/>
      <c r="E39" s="356"/>
      <c r="F39" s="356"/>
    </row>
    <row r="52" spans="2:4" x14ac:dyDescent="0.25">
      <c r="B52" s="356"/>
      <c r="C52" s="356"/>
      <c r="D52" s="356"/>
    </row>
  </sheetData>
  <mergeCells count="4">
    <mergeCell ref="A1:C1"/>
    <mergeCell ref="H1:J1"/>
    <mergeCell ref="A2:J2"/>
    <mergeCell ref="G5:J5"/>
  </mergeCells>
  <pageMargins left="0.25" right="0.2" top="0.74803149606299213" bottom="0.74803149606299213" header="0.31496062992125984" footer="0.31496062992125984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zoomScaleNormal="100" zoomScaleSheetLayoutView="100" workbookViewId="0">
      <selection activeCell="G22" sqref="G22"/>
    </sheetView>
  </sheetViews>
  <sheetFormatPr defaultColWidth="9.140625" defaultRowHeight="15" x14ac:dyDescent="0.25"/>
  <cols>
    <col min="1" max="1" width="57.5703125" style="20" customWidth="1"/>
    <col min="2" max="4" width="11.28515625" style="20" bestFit="1" customWidth="1"/>
    <col min="5" max="5" width="6.42578125" style="20" customWidth="1"/>
    <col min="6" max="6" width="6.85546875" style="20" bestFit="1" customWidth="1"/>
    <col min="7" max="7" width="8.28515625" style="20" bestFit="1" customWidth="1"/>
    <col min="8" max="8" width="9" style="20" bestFit="1" customWidth="1"/>
    <col min="9" max="16384" width="9.140625" style="20"/>
  </cols>
  <sheetData>
    <row r="1" spans="1:10" ht="49.5" customHeight="1" x14ac:dyDescent="0.25">
      <c r="A1" s="19"/>
      <c r="B1" s="621" t="s">
        <v>921</v>
      </c>
      <c r="C1" s="621"/>
      <c r="D1" s="621"/>
      <c r="E1" s="274"/>
      <c r="J1" s="274"/>
    </row>
    <row r="2" spans="1:10" ht="42" customHeight="1" x14ac:dyDescent="0.25">
      <c r="A2" s="637" t="s">
        <v>96</v>
      </c>
      <c r="B2" s="637"/>
      <c r="C2" s="637"/>
      <c r="D2" s="637"/>
      <c r="E2" s="323"/>
    </row>
    <row r="3" spans="1:10" x14ac:dyDescent="0.25">
      <c r="A3" s="256"/>
      <c r="B3" s="256"/>
      <c r="C3" s="256"/>
      <c r="D3" s="256"/>
    </row>
    <row r="4" spans="1:10" x14ac:dyDescent="0.25">
      <c r="A4" s="206" t="s">
        <v>118</v>
      </c>
      <c r="B4" s="256"/>
      <c r="C4" s="256"/>
      <c r="D4" s="256"/>
      <c r="F4" s="631" t="s">
        <v>576</v>
      </c>
      <c r="G4" s="631"/>
      <c r="H4" s="631"/>
    </row>
    <row r="5" spans="1:10" ht="47.25" customHeight="1" x14ac:dyDescent="0.25">
      <c r="A5" s="256"/>
      <c r="B5" s="266"/>
      <c r="C5" s="266"/>
      <c r="D5" s="266"/>
      <c r="F5" s="290" t="s">
        <v>575</v>
      </c>
      <c r="G5" s="290" t="s">
        <v>574</v>
      </c>
      <c r="H5" s="291" t="s">
        <v>573</v>
      </c>
    </row>
    <row r="6" spans="1:10" x14ac:dyDescent="0.25">
      <c r="A6" s="179" t="s">
        <v>123</v>
      </c>
      <c r="B6" s="256"/>
      <c r="C6" s="256"/>
      <c r="D6" s="256"/>
      <c r="F6" s="292" t="s">
        <v>572</v>
      </c>
      <c r="G6" s="293">
        <v>110</v>
      </c>
      <c r="H6" s="294">
        <f>ROUND(2746*1.23,0)</f>
        <v>3378</v>
      </c>
    </row>
    <row r="7" spans="1:10" x14ac:dyDescent="0.25">
      <c r="A7" s="179"/>
      <c r="B7" s="297" t="s">
        <v>603</v>
      </c>
      <c r="C7" s="297" t="s">
        <v>604</v>
      </c>
      <c r="D7" s="297" t="s">
        <v>605</v>
      </c>
      <c r="F7" s="292" t="s">
        <v>572</v>
      </c>
      <c r="G7" s="293">
        <v>80</v>
      </c>
      <c r="H7" s="294">
        <f>ROUND(3351*1.23,0)</f>
        <v>4122</v>
      </c>
    </row>
    <row r="8" spans="1:10" x14ac:dyDescent="0.25">
      <c r="A8" s="230" t="s">
        <v>463</v>
      </c>
      <c r="B8" s="183">
        <v>170</v>
      </c>
      <c r="C8" s="183">
        <v>170</v>
      </c>
      <c r="D8" s="183">
        <v>182</v>
      </c>
      <c r="F8" s="292" t="s">
        <v>571</v>
      </c>
      <c r="G8" s="295">
        <v>130</v>
      </c>
      <c r="H8" s="294">
        <f>ROUND(3588*1.23,0)</f>
        <v>4413</v>
      </c>
    </row>
    <row r="9" spans="1:10" x14ac:dyDescent="0.25">
      <c r="A9" s="230" t="s">
        <v>631</v>
      </c>
      <c r="B9" s="183">
        <f>H6*1.2</f>
        <v>4053.6</v>
      </c>
      <c r="C9" s="183">
        <f>H7*1.2</f>
        <v>4946.3999999999996</v>
      </c>
      <c r="D9" s="183">
        <f>H8*1.2</f>
        <v>5295.5999999999995</v>
      </c>
      <c r="F9" s="79"/>
      <c r="G9" s="298"/>
      <c r="H9" s="299"/>
    </row>
    <row r="10" spans="1:10" x14ac:dyDescent="0.25">
      <c r="A10" s="256" t="s">
        <v>906</v>
      </c>
      <c r="B10" s="95">
        <f>ROUND(1.5*'3. rezsióradíj mérnökóradíj'!D4*2,0)</f>
        <v>12000</v>
      </c>
      <c r="C10" s="33">
        <f>B10</f>
        <v>12000</v>
      </c>
      <c r="D10" s="33">
        <f>C10</f>
        <v>12000</v>
      </c>
    </row>
    <row r="11" spans="1:10" x14ac:dyDescent="0.25">
      <c r="A11" s="63" t="s">
        <v>698</v>
      </c>
      <c r="B11" s="138">
        <f>'4. kiszállás díja'!C10</f>
        <v>5000</v>
      </c>
      <c r="C11" s="138">
        <f>B11</f>
        <v>5000</v>
      </c>
      <c r="D11" s="138">
        <f>C11</f>
        <v>5000</v>
      </c>
    </row>
    <row r="12" spans="1:10" x14ac:dyDescent="0.25">
      <c r="A12" s="203" t="s">
        <v>122</v>
      </c>
      <c r="B12" s="37">
        <f>SUM(B8:B11)</f>
        <v>21223.599999999999</v>
      </c>
      <c r="C12" s="37">
        <f t="shared" ref="C12:D12" si="0">SUM(C8:C11)</f>
        <v>22116.400000000001</v>
      </c>
      <c r="D12" s="37">
        <f t="shared" si="0"/>
        <v>22477.599999999999</v>
      </c>
    </row>
    <row r="13" spans="1:10" x14ac:dyDescent="0.25">
      <c r="A13" s="63" t="s">
        <v>111</v>
      </c>
      <c r="B13" s="140">
        <f>ROUND((B10+B11)*0.2,0)</f>
        <v>3400</v>
      </c>
      <c r="C13" s="140">
        <f>ROUND((C10+C11)*0.2,0)</f>
        <v>3400</v>
      </c>
      <c r="D13" s="140">
        <f>ROUND((D10+D11)*0.2,0)</f>
        <v>3400</v>
      </c>
    </row>
    <row r="14" spans="1:10" x14ac:dyDescent="0.25">
      <c r="A14" s="203" t="s">
        <v>86</v>
      </c>
      <c r="B14" s="37">
        <f>SUM(B12:B13)</f>
        <v>24623.599999999999</v>
      </c>
      <c r="C14" s="37">
        <f t="shared" ref="C14:D14" si="1">SUM(C12:C13)</f>
        <v>25516.400000000001</v>
      </c>
      <c r="D14" s="37">
        <f t="shared" si="1"/>
        <v>25877.599999999999</v>
      </c>
    </row>
    <row r="15" spans="1:10" x14ac:dyDescent="0.25">
      <c r="A15" s="256" t="s">
        <v>106</v>
      </c>
      <c r="B15" s="33">
        <f>ROUND(B14*0.27,0)</f>
        <v>6648</v>
      </c>
      <c r="C15" s="33">
        <f>ROUND(C14*0.27,0)</f>
        <v>6889</v>
      </c>
      <c r="D15" s="33">
        <f t="shared" ref="D15" si="2">ROUND(D14*0.27,0)</f>
        <v>6987</v>
      </c>
    </row>
    <row r="16" spans="1:10" s="56" customFormat="1" ht="30" customHeight="1" x14ac:dyDescent="0.25">
      <c r="A16" s="567" t="s">
        <v>107</v>
      </c>
      <c r="B16" s="568">
        <f>ROUND(SUM(B14:B15),0)</f>
        <v>31272</v>
      </c>
      <c r="C16" s="568">
        <f t="shared" ref="C16:D16" si="3">ROUND(SUM(C14:C15),0)</f>
        <v>32405</v>
      </c>
      <c r="D16" s="568">
        <f t="shared" si="3"/>
        <v>32865</v>
      </c>
      <c r="E16" s="20"/>
      <c r="F16" s="20"/>
    </row>
    <row r="17" spans="1:7" x14ac:dyDescent="0.25">
      <c r="A17" s="256"/>
      <c r="B17" s="256"/>
      <c r="C17" s="256"/>
      <c r="D17" s="256"/>
      <c r="E17" s="273"/>
    </row>
    <row r="18" spans="1:7" s="283" customFormat="1" ht="15" customHeight="1" x14ac:dyDescent="0.25">
      <c r="A18" s="636" t="s">
        <v>628</v>
      </c>
      <c r="B18" s="636"/>
      <c r="C18" s="636"/>
      <c r="D18" s="636"/>
    </row>
    <row r="19" spans="1:7" x14ac:dyDescent="0.25">
      <c r="A19" s="117" t="s">
        <v>629</v>
      </c>
    </row>
    <row r="23" spans="1:7" x14ac:dyDescent="0.25">
      <c r="A23" s="355"/>
      <c r="B23" s="355"/>
      <c r="C23" s="355"/>
      <c r="D23" s="355"/>
      <c r="E23" s="355"/>
      <c r="F23" s="355"/>
      <c r="G23" s="355"/>
    </row>
    <row r="40" spans="2:6" x14ac:dyDescent="0.25">
      <c r="B40" s="355"/>
      <c r="C40" s="355"/>
      <c r="D40" s="355"/>
      <c r="E40" s="355"/>
      <c r="F40" s="355"/>
    </row>
    <row r="53" spans="2:4" x14ac:dyDescent="0.25">
      <c r="B53" s="355"/>
      <c r="C53" s="355"/>
      <c r="D53" s="355"/>
    </row>
  </sheetData>
  <mergeCells count="4">
    <mergeCell ref="F4:H4"/>
    <mergeCell ref="B1:D1"/>
    <mergeCell ref="A18:D18"/>
    <mergeCell ref="A2:D2"/>
  </mergeCells>
  <pageMargins left="0.59" right="0.23" top="0.59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workbookViewId="0">
      <selection activeCell="C2" sqref="C1:C1048576"/>
    </sheetView>
  </sheetViews>
  <sheetFormatPr defaultColWidth="9.140625" defaultRowHeight="15" x14ac:dyDescent="0.25"/>
  <cols>
    <col min="1" max="1" width="68.28515625" style="207" bestFit="1" customWidth="1"/>
    <col min="2" max="16384" width="9.140625" style="207"/>
  </cols>
  <sheetData>
    <row r="1" spans="1:3" ht="43.5" customHeight="1" x14ac:dyDescent="0.25">
      <c r="A1" s="615" t="s">
        <v>930</v>
      </c>
      <c r="B1" s="615"/>
      <c r="C1" s="615"/>
    </row>
    <row r="2" spans="1:3" ht="36.75" customHeight="1" x14ac:dyDescent="0.25">
      <c r="A2" s="638" t="s">
        <v>761</v>
      </c>
      <c r="B2" s="638"/>
    </row>
    <row r="3" spans="1:3" ht="36.75" customHeight="1" x14ac:dyDescent="0.25">
      <c r="A3" s="550"/>
      <c r="B3" s="550"/>
    </row>
    <row r="4" spans="1:3" ht="24" customHeight="1" x14ac:dyDescent="0.25">
      <c r="A4" s="630"/>
      <c r="B4" s="630"/>
    </row>
    <row r="5" spans="1:3" x14ac:dyDescent="0.25">
      <c r="A5" s="210" t="s">
        <v>118</v>
      </c>
    </row>
    <row r="7" spans="1:3" x14ac:dyDescent="0.25">
      <c r="A7" s="230" t="s">
        <v>463</v>
      </c>
      <c r="B7" s="207" t="s">
        <v>119</v>
      </c>
    </row>
    <row r="8" spans="1:3" x14ac:dyDescent="0.25">
      <c r="A8" s="230" t="s">
        <v>631</v>
      </c>
      <c r="B8" s="207" t="s">
        <v>119</v>
      </c>
    </row>
    <row r="9" spans="1:3" x14ac:dyDescent="0.25">
      <c r="A9" s="200" t="s">
        <v>726</v>
      </c>
      <c r="B9" s="453">
        <f>ROUND(2.5*'[1]3. szakmai átlagórabérek'!D4*2,0)</f>
        <v>20000</v>
      </c>
    </row>
    <row r="10" spans="1:3" x14ac:dyDescent="0.25">
      <c r="A10" s="63" t="s">
        <v>698</v>
      </c>
      <c r="B10" s="469">
        <f>'[1]4. kiszállás díja'!C10</f>
        <v>5000</v>
      </c>
    </row>
    <row r="11" spans="1:3" x14ac:dyDescent="0.25">
      <c r="A11" s="202" t="s">
        <v>122</v>
      </c>
      <c r="B11" s="207" t="s">
        <v>119</v>
      </c>
    </row>
    <row r="12" spans="1:3" x14ac:dyDescent="0.25">
      <c r="A12" s="66" t="s">
        <v>111</v>
      </c>
      <c r="B12" s="469">
        <f>(B9+B10)*0.2</f>
        <v>5000</v>
      </c>
    </row>
    <row r="13" spans="1:3" x14ac:dyDescent="0.25">
      <c r="A13" s="202" t="s">
        <v>86</v>
      </c>
      <c r="B13" s="207" t="s">
        <v>119</v>
      </c>
    </row>
    <row r="14" spans="1:3" x14ac:dyDescent="0.25">
      <c r="A14" s="200" t="s">
        <v>106</v>
      </c>
      <c r="B14" s="470" t="s">
        <v>119</v>
      </c>
    </row>
    <row r="15" spans="1:3" ht="33" customHeight="1" x14ac:dyDescent="0.25">
      <c r="A15" s="65" t="s">
        <v>107</v>
      </c>
      <c r="B15" s="471" t="s">
        <v>762</v>
      </c>
    </row>
    <row r="18" spans="1:1" x14ac:dyDescent="0.25">
      <c r="A18" s="207" t="s">
        <v>938</v>
      </c>
    </row>
  </sheetData>
  <mergeCells count="3">
    <mergeCell ref="A1:C1"/>
    <mergeCell ref="A2:B2"/>
    <mergeCell ref="A4:B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showGridLines="0" topLeftCell="A100" zoomScaleNormal="100" zoomScaleSheetLayoutView="100" workbookViewId="0">
      <selection activeCell="I123" sqref="I123"/>
    </sheetView>
  </sheetViews>
  <sheetFormatPr defaultColWidth="9.140625" defaultRowHeight="15" x14ac:dyDescent="0.25"/>
  <cols>
    <col min="1" max="1" width="70.140625" style="20" customWidth="1"/>
    <col min="2" max="2" width="15.7109375" style="20" customWidth="1"/>
    <col min="3" max="3" width="16.42578125" style="20" bestFit="1" customWidth="1"/>
    <col min="4" max="16384" width="9.140625" style="20"/>
  </cols>
  <sheetData>
    <row r="1" spans="1:3" ht="32.25" customHeight="1" x14ac:dyDescent="0.25">
      <c r="A1" s="621" t="s">
        <v>430</v>
      </c>
      <c r="B1" s="621"/>
      <c r="C1" s="621"/>
    </row>
    <row r="2" spans="1:3" ht="27" customHeight="1" x14ac:dyDescent="0.25">
      <c r="A2" s="626" t="s">
        <v>124</v>
      </c>
      <c r="B2" s="626"/>
      <c r="C2" s="626"/>
    </row>
    <row r="3" spans="1:3" x14ac:dyDescent="0.25">
      <c r="A3" s="25" t="s">
        <v>125</v>
      </c>
      <c r="B3" s="25"/>
      <c r="C3" s="25"/>
    </row>
    <row r="4" spans="1:3" ht="13.9" customHeight="1" x14ac:dyDescent="0.25">
      <c r="B4" s="25"/>
      <c r="C4" s="25"/>
    </row>
    <row r="5" spans="1:3" x14ac:dyDescent="0.25">
      <c r="A5" s="67" t="s">
        <v>126</v>
      </c>
      <c r="B5" s="154"/>
      <c r="C5" s="154">
        <v>75000</v>
      </c>
    </row>
    <row r="6" spans="1:3" s="301" customFormat="1" x14ac:dyDescent="0.25">
      <c r="A6" s="300" t="s">
        <v>550</v>
      </c>
      <c r="B6" s="154"/>
      <c r="C6" s="154">
        <v>65000</v>
      </c>
    </row>
    <row r="7" spans="1:3" x14ac:dyDescent="0.25">
      <c r="A7" s="67" t="s">
        <v>127</v>
      </c>
      <c r="B7" s="154"/>
      <c r="C7" s="154">
        <v>40000</v>
      </c>
    </row>
    <row r="8" spans="1:3" s="301" customFormat="1" x14ac:dyDescent="0.25">
      <c r="A8" s="300" t="s">
        <v>549</v>
      </c>
      <c r="B8" s="154"/>
      <c r="C8" s="154">
        <v>30000</v>
      </c>
    </row>
    <row r="9" spans="1:3" x14ac:dyDescent="0.25">
      <c r="A9" s="50"/>
      <c r="B9" s="25"/>
      <c r="C9" s="25"/>
    </row>
    <row r="10" spans="1:3" x14ac:dyDescent="0.25">
      <c r="A10" s="50"/>
      <c r="B10" s="364"/>
      <c r="C10" s="25"/>
    </row>
    <row r="11" spans="1:3" x14ac:dyDescent="0.25">
      <c r="A11" s="69" t="s">
        <v>128</v>
      </c>
      <c r="B11" s="25"/>
      <c r="C11" s="25"/>
    </row>
    <row r="12" spans="1:3" x14ac:dyDescent="0.25">
      <c r="A12" s="50"/>
      <c r="B12" s="25"/>
      <c r="C12" s="25"/>
    </row>
    <row r="13" spans="1:3" x14ac:dyDescent="0.25">
      <c r="A13" s="25" t="s">
        <v>129</v>
      </c>
      <c r="B13" s="25"/>
      <c r="C13" s="25"/>
    </row>
    <row r="14" spans="1:3" x14ac:dyDescent="0.25">
      <c r="A14" s="25" t="s">
        <v>130</v>
      </c>
      <c r="B14" s="25"/>
      <c r="C14" s="25"/>
    </row>
    <row r="15" spans="1:3" x14ac:dyDescent="0.25">
      <c r="A15" s="25" t="s">
        <v>131</v>
      </c>
      <c r="B15" s="25"/>
      <c r="C15" s="25"/>
    </row>
    <row r="16" spans="1:3" x14ac:dyDescent="0.25">
      <c r="A16" s="25" t="s">
        <v>132</v>
      </c>
      <c r="B16" s="25"/>
      <c r="C16" s="25"/>
    </row>
    <row r="17" spans="1:11" x14ac:dyDescent="0.25">
      <c r="A17" s="25" t="s">
        <v>133</v>
      </c>
      <c r="B17" s="25"/>
      <c r="C17" s="25"/>
    </row>
    <row r="18" spans="1:11" x14ac:dyDescent="0.25">
      <c r="A18" s="25" t="s">
        <v>134</v>
      </c>
      <c r="B18" s="25"/>
      <c r="C18" s="25"/>
    </row>
    <row r="19" spans="1:11" x14ac:dyDescent="0.25">
      <c r="A19" s="25" t="s">
        <v>135</v>
      </c>
      <c r="B19" s="25"/>
      <c r="C19" s="25"/>
    </row>
    <row r="20" spans="1:11" x14ac:dyDescent="0.25">
      <c r="A20" s="25" t="s">
        <v>136</v>
      </c>
      <c r="B20" s="25"/>
      <c r="C20" s="25"/>
    </row>
    <row r="21" spans="1:11" x14ac:dyDescent="0.25">
      <c r="A21" s="25" t="s">
        <v>137</v>
      </c>
      <c r="B21" s="25"/>
      <c r="C21" s="25"/>
    </row>
    <row r="22" spans="1:11" x14ac:dyDescent="0.25">
      <c r="A22" s="25" t="s">
        <v>138</v>
      </c>
      <c r="B22" s="354"/>
      <c r="C22" s="354"/>
    </row>
    <row r="23" spans="1:11" x14ac:dyDescent="0.25">
      <c r="A23" s="25" t="s">
        <v>139</v>
      </c>
      <c r="B23" s="25"/>
      <c r="C23" s="25"/>
      <c r="D23" s="355"/>
      <c r="E23" s="355"/>
      <c r="F23" s="355"/>
      <c r="G23" s="355"/>
      <c r="H23" s="355"/>
      <c r="I23" s="355"/>
      <c r="J23" s="355"/>
      <c r="K23" s="355"/>
    </row>
    <row r="24" spans="1:11" x14ac:dyDescent="0.25">
      <c r="A24" s="25" t="s">
        <v>140</v>
      </c>
      <c r="B24" s="25"/>
      <c r="C24" s="25"/>
    </row>
    <row r="25" spans="1:11" x14ac:dyDescent="0.25">
      <c r="A25" s="25" t="s">
        <v>141</v>
      </c>
      <c r="B25" s="25"/>
      <c r="C25" s="25"/>
    </row>
    <row r="26" spans="1:11" x14ac:dyDescent="0.25">
      <c r="A26" s="25" t="s">
        <v>142</v>
      </c>
      <c r="B26" s="25"/>
      <c r="C26" s="25"/>
    </row>
    <row r="27" spans="1:11" x14ac:dyDescent="0.25">
      <c r="A27" s="25"/>
      <c r="B27" s="25"/>
      <c r="C27" s="25"/>
    </row>
    <row r="28" spans="1:11" x14ac:dyDescent="0.25">
      <c r="A28" s="49" t="s">
        <v>143</v>
      </c>
      <c r="B28" s="25"/>
      <c r="C28" s="25"/>
    </row>
    <row r="29" spans="1:11" ht="31.5" customHeight="1" x14ac:dyDescent="0.25">
      <c r="A29" s="622" t="s">
        <v>623</v>
      </c>
      <c r="B29" s="622"/>
      <c r="C29" s="622"/>
    </row>
    <row r="30" spans="1:11" x14ac:dyDescent="0.25">
      <c r="A30" s="25"/>
      <c r="B30" s="25"/>
      <c r="C30" s="25"/>
    </row>
    <row r="31" spans="1:11" x14ac:dyDescent="0.25">
      <c r="A31" s="25" t="s">
        <v>144</v>
      </c>
      <c r="B31" s="25"/>
      <c r="C31" s="25"/>
    </row>
    <row r="32" spans="1:11" x14ac:dyDescent="0.25">
      <c r="A32" s="69" t="s">
        <v>145</v>
      </c>
      <c r="B32" s="25"/>
      <c r="C32" s="25"/>
    </row>
    <row r="33" spans="1:6" x14ac:dyDescent="0.25">
      <c r="A33" s="50"/>
      <c r="B33" s="25"/>
      <c r="C33" s="25"/>
    </row>
    <row r="34" spans="1:6" x14ac:dyDescent="0.25">
      <c r="A34" s="70" t="s">
        <v>146</v>
      </c>
      <c r="B34" s="25"/>
      <c r="C34" s="25"/>
    </row>
    <row r="35" spans="1:6" ht="34.5" customHeight="1" x14ac:dyDescent="0.25">
      <c r="A35" s="625" t="s">
        <v>736</v>
      </c>
      <c r="B35" s="625"/>
      <c r="C35" s="625"/>
    </row>
    <row r="36" spans="1:6" ht="30" customHeight="1" x14ac:dyDescent="0.25">
      <c r="A36" s="622" t="s">
        <v>621</v>
      </c>
      <c r="B36" s="622"/>
      <c r="C36" s="622"/>
    </row>
    <row r="37" spans="1:6" ht="15" customHeight="1" x14ac:dyDescent="0.25">
      <c r="A37" s="367"/>
      <c r="B37" s="367"/>
      <c r="C37" s="367"/>
    </row>
    <row r="38" spans="1:6" ht="15" customHeight="1" x14ac:dyDescent="0.25">
      <c r="A38" s="217" t="s">
        <v>551</v>
      </c>
      <c r="B38" s="367"/>
      <c r="C38" s="367"/>
    </row>
    <row r="39" spans="1:6" ht="15" customHeight="1" x14ac:dyDescent="0.25">
      <c r="A39" s="367"/>
      <c r="B39" s="368" t="s">
        <v>147</v>
      </c>
      <c r="C39" s="368" t="s">
        <v>148</v>
      </c>
    </row>
    <row r="40" spans="1:6" ht="15" customHeight="1" x14ac:dyDescent="0.25">
      <c r="A40" s="367"/>
      <c r="B40" s="368" t="s">
        <v>149</v>
      </c>
      <c r="C40" s="368" t="s">
        <v>150</v>
      </c>
      <c r="D40" s="355"/>
      <c r="E40" s="355"/>
      <c r="F40" s="355"/>
    </row>
    <row r="41" spans="1:6" ht="15" customHeight="1" x14ac:dyDescent="0.25">
      <c r="A41" s="367"/>
      <c r="B41" s="368" t="s">
        <v>151</v>
      </c>
      <c r="C41" s="368" t="s">
        <v>152</v>
      </c>
    </row>
    <row r="42" spans="1:6" ht="15" customHeight="1" x14ac:dyDescent="0.25">
      <c r="A42" s="367"/>
      <c r="B42" s="367"/>
      <c r="C42" s="367"/>
    </row>
    <row r="43" spans="1:6" ht="15" customHeight="1" x14ac:dyDescent="0.25">
      <c r="A43" s="367" t="s">
        <v>153</v>
      </c>
      <c r="B43" s="473" t="s">
        <v>757</v>
      </c>
      <c r="C43" s="473" t="s">
        <v>552</v>
      </c>
    </row>
    <row r="44" spans="1:6" ht="30" customHeight="1" x14ac:dyDescent="0.25">
      <c r="A44" s="367" t="s">
        <v>154</v>
      </c>
      <c r="B44" s="474" t="s">
        <v>553</v>
      </c>
      <c r="C44" s="474" t="s">
        <v>554</v>
      </c>
    </row>
    <row r="45" spans="1:6" ht="15" customHeight="1" x14ac:dyDescent="0.25">
      <c r="A45" s="367" t="s">
        <v>155</v>
      </c>
      <c r="B45" s="473" t="s">
        <v>555</v>
      </c>
      <c r="C45" s="473" t="s">
        <v>553</v>
      </c>
    </row>
    <row r="46" spans="1:6" ht="15" customHeight="1" x14ac:dyDescent="0.25">
      <c r="A46" s="218" t="s">
        <v>156</v>
      </c>
      <c r="B46" s="475" t="s">
        <v>553</v>
      </c>
      <c r="C46" s="475" t="s">
        <v>553</v>
      </c>
    </row>
    <row r="47" spans="1:6" ht="15" customHeight="1" x14ac:dyDescent="0.25">
      <c r="A47" s="216" t="s">
        <v>157</v>
      </c>
      <c r="B47" s="476" t="s">
        <v>758</v>
      </c>
      <c r="C47" s="476" t="s">
        <v>556</v>
      </c>
    </row>
    <row r="48" spans="1:6" x14ac:dyDescent="0.25">
      <c r="A48" s="25"/>
      <c r="B48" s="25"/>
      <c r="C48" s="25"/>
    </row>
    <row r="49" spans="1:4" x14ac:dyDescent="0.25">
      <c r="A49" s="25"/>
      <c r="B49" s="25"/>
      <c r="C49" s="25"/>
    </row>
    <row r="50" spans="1:4" x14ac:dyDescent="0.25">
      <c r="A50" s="25"/>
      <c r="B50" s="25"/>
      <c r="C50" s="25"/>
    </row>
    <row r="51" spans="1:4" x14ac:dyDescent="0.25">
      <c r="A51" s="25"/>
      <c r="B51" s="25"/>
      <c r="C51" s="25"/>
    </row>
    <row r="52" spans="1:4" x14ac:dyDescent="0.25">
      <c r="A52" s="25"/>
      <c r="B52" s="25"/>
      <c r="C52" s="25"/>
    </row>
    <row r="53" spans="1:4" x14ac:dyDescent="0.25">
      <c r="A53" s="50"/>
      <c r="B53" s="361"/>
      <c r="C53" s="361"/>
      <c r="D53" s="355"/>
    </row>
    <row r="54" spans="1:4" s="73" customFormat="1" x14ac:dyDescent="0.25">
      <c r="A54" s="70" t="s">
        <v>158</v>
      </c>
      <c r="B54" s="25"/>
      <c r="C54" s="25"/>
    </row>
    <row r="55" spans="1:4" x14ac:dyDescent="0.25">
      <c r="A55" s="25" t="s">
        <v>159</v>
      </c>
      <c r="B55" s="35"/>
      <c r="C55" s="74" t="s">
        <v>160</v>
      </c>
    </row>
    <row r="56" spans="1:4" x14ac:dyDescent="0.25">
      <c r="A56" s="25" t="s">
        <v>464</v>
      </c>
      <c r="B56" s="25"/>
    </row>
    <row r="57" spans="1:4" x14ac:dyDescent="0.25">
      <c r="A57" s="25" t="s">
        <v>161</v>
      </c>
      <c r="B57" s="25"/>
    </row>
    <row r="58" spans="1:4" x14ac:dyDescent="0.25">
      <c r="A58" s="25" t="s">
        <v>637</v>
      </c>
      <c r="B58" s="25"/>
    </row>
    <row r="59" spans="1:4" s="301" customFormat="1" x14ac:dyDescent="0.25">
      <c r="A59" s="58" t="s">
        <v>759</v>
      </c>
      <c r="B59" s="256"/>
      <c r="C59" s="33">
        <f>ROUND(6*'3. rezsióradíj mérnökóradíj'!D4,0)</f>
        <v>24000</v>
      </c>
    </row>
    <row r="60" spans="1:4" x14ac:dyDescent="0.25">
      <c r="A60" s="25" t="s">
        <v>163</v>
      </c>
      <c r="B60" s="25"/>
      <c r="C60" s="33">
        <f>'4. kiszállás díja'!C10</f>
        <v>5000</v>
      </c>
    </row>
    <row r="61" spans="1:4" x14ac:dyDescent="0.25">
      <c r="A61" s="25" t="s">
        <v>920</v>
      </c>
      <c r="B61" s="25"/>
      <c r="C61" s="33">
        <v>22500</v>
      </c>
    </row>
    <row r="62" spans="1:4" x14ac:dyDescent="0.25">
      <c r="A62" s="28" t="s">
        <v>164</v>
      </c>
      <c r="B62" s="500"/>
      <c r="C62" s="540">
        <f>(C59+C60+C61)*0.2</f>
        <v>10300</v>
      </c>
      <c r="D62" s="142"/>
    </row>
    <row r="63" spans="1:4" x14ac:dyDescent="0.25">
      <c r="A63" s="30" t="s">
        <v>86</v>
      </c>
      <c r="B63" s="30"/>
      <c r="C63" s="74" t="s">
        <v>119</v>
      </c>
    </row>
    <row r="64" spans="1:4" x14ac:dyDescent="0.25">
      <c r="A64" s="28" t="s">
        <v>106</v>
      </c>
      <c r="B64" s="28"/>
      <c r="C64" s="77" t="s">
        <v>119</v>
      </c>
    </row>
    <row r="65" spans="1:10" ht="30" customHeight="1" x14ac:dyDescent="0.25">
      <c r="A65" s="31" t="s">
        <v>107</v>
      </c>
      <c r="B65" s="31"/>
      <c r="C65" s="78" t="s">
        <v>119</v>
      </c>
    </row>
    <row r="66" spans="1:10" ht="15.75" customHeight="1" x14ac:dyDescent="0.25">
      <c r="A66" s="302"/>
      <c r="B66" s="302"/>
      <c r="C66" s="79"/>
    </row>
    <row r="67" spans="1:10" ht="15.75" customHeight="1" x14ac:dyDescent="0.25">
      <c r="A67" s="302"/>
      <c r="B67" s="302"/>
      <c r="C67" s="79"/>
    </row>
    <row r="68" spans="1:10" ht="15.75" customHeight="1" x14ac:dyDescent="0.25">
      <c r="A68" s="70" t="s">
        <v>165</v>
      </c>
      <c r="B68" s="302"/>
      <c r="C68" s="79"/>
    </row>
    <row r="69" spans="1:10" ht="15.75" customHeight="1" x14ac:dyDescent="0.25">
      <c r="A69" s="625" t="s">
        <v>166</v>
      </c>
      <c r="B69" s="625"/>
      <c r="C69" s="625"/>
      <c r="D69" s="301"/>
      <c r="E69" s="301"/>
      <c r="F69" s="301"/>
      <c r="G69" s="301"/>
      <c r="H69" s="301"/>
      <c r="I69" s="301"/>
      <c r="J69" s="301"/>
    </row>
    <row r="70" spans="1:10" ht="15.75" customHeight="1" x14ac:dyDescent="0.25">
      <c r="A70" s="25"/>
      <c r="B70" s="302"/>
      <c r="C70" s="79"/>
    </row>
    <row r="71" spans="1:10" ht="15.75" customHeight="1" x14ac:dyDescent="0.25">
      <c r="A71" s="25"/>
      <c r="B71" s="302"/>
      <c r="C71" s="79"/>
    </row>
    <row r="72" spans="1:10" ht="15.75" customHeight="1" x14ac:dyDescent="0.25">
      <c r="A72" s="70" t="s">
        <v>465</v>
      </c>
      <c r="B72" s="302"/>
      <c r="C72" s="79"/>
    </row>
    <row r="73" spans="1:10" ht="23.1" customHeight="1" x14ac:dyDescent="0.25">
      <c r="A73" s="25" t="s">
        <v>622</v>
      </c>
      <c r="B73" s="302"/>
      <c r="C73" s="33">
        <f>ROUND(4*158*1.2,0)</f>
        <v>758</v>
      </c>
    </row>
    <row r="74" spans="1:10" ht="30" customHeight="1" x14ac:dyDescent="0.25">
      <c r="A74" s="25" t="s">
        <v>466</v>
      </c>
      <c r="B74" s="302"/>
      <c r="C74" s="79"/>
    </row>
    <row r="75" spans="1:10" ht="15.75" customHeight="1" x14ac:dyDescent="0.25">
      <c r="A75" s="25" t="s">
        <v>907</v>
      </c>
      <c r="B75" s="302"/>
      <c r="C75" s="33">
        <f>ROUND(2*'3. rezsióradíj mérnökóradíj'!D4*3,0)</f>
        <v>24000</v>
      </c>
    </row>
    <row r="76" spans="1:10" ht="15.75" customHeight="1" x14ac:dyDescent="0.25">
      <c r="A76" s="25" t="s">
        <v>163</v>
      </c>
      <c r="B76" s="302"/>
      <c r="C76" s="33">
        <f>'4. kiszállás díja'!C10</f>
        <v>5000</v>
      </c>
    </row>
    <row r="77" spans="1:10" ht="15.75" customHeight="1" x14ac:dyDescent="0.25">
      <c r="A77" s="169" t="s">
        <v>122</v>
      </c>
      <c r="B77" s="303"/>
      <c r="C77" s="304">
        <f>SUM(C73:C76)</f>
        <v>29758</v>
      </c>
    </row>
    <row r="78" spans="1:10" ht="15.75" customHeight="1" x14ac:dyDescent="0.25">
      <c r="A78" s="66" t="s">
        <v>111</v>
      </c>
      <c r="B78" s="25"/>
      <c r="C78" s="33">
        <f>ROUND((C75+C76)*0.2001,0)+1</f>
        <v>5804</v>
      </c>
    </row>
    <row r="79" spans="1:10" ht="15.75" customHeight="1" x14ac:dyDescent="0.25">
      <c r="A79" s="305" t="s">
        <v>86</v>
      </c>
      <c r="B79" s="303"/>
      <c r="C79" s="168">
        <f>SUM(C77:C78)</f>
        <v>35562</v>
      </c>
    </row>
    <row r="80" spans="1:10" ht="15.75" customHeight="1" x14ac:dyDescent="0.25">
      <c r="A80" s="28" t="s">
        <v>106</v>
      </c>
      <c r="B80" s="302"/>
      <c r="C80" s="139">
        <f>ROUND(C79*0.27,0)</f>
        <v>9602</v>
      </c>
    </row>
    <row r="81" spans="1:3" ht="15.75" customHeight="1" x14ac:dyDescent="0.25">
      <c r="A81" s="31" t="s">
        <v>107</v>
      </c>
      <c r="B81" s="31"/>
      <c r="C81" s="170">
        <f>ROUND(SUM(C79:C80),0)</f>
        <v>45164</v>
      </c>
    </row>
    <row r="82" spans="1:3" ht="15.75" customHeight="1" x14ac:dyDescent="0.25">
      <c r="A82" s="25"/>
      <c r="B82" s="302"/>
      <c r="C82" s="79"/>
    </row>
    <row r="83" spans="1:3" ht="15.75" customHeight="1" x14ac:dyDescent="0.25">
      <c r="A83" s="25"/>
    </row>
    <row r="84" spans="1:3" ht="15.75" customHeight="1" x14ac:dyDescent="0.25">
      <c r="A84" s="180" t="s">
        <v>557</v>
      </c>
      <c r="B84" s="301"/>
      <c r="C84" s="301"/>
    </row>
    <row r="85" spans="1:3" ht="15.75" customHeight="1" x14ac:dyDescent="0.25">
      <c r="A85" s="69"/>
    </row>
    <row r="86" spans="1:3" ht="15.75" customHeight="1" x14ac:dyDescent="0.25">
      <c r="A86" s="25" t="s">
        <v>159</v>
      </c>
      <c r="B86" s="35"/>
      <c r="C86" s="74" t="s">
        <v>160</v>
      </c>
    </row>
    <row r="87" spans="1:3" ht="15.75" customHeight="1" x14ac:dyDescent="0.25">
      <c r="A87" s="25" t="s">
        <v>464</v>
      </c>
      <c r="B87" s="25"/>
    </row>
    <row r="88" spans="1:3" ht="15.75" customHeight="1" x14ac:dyDescent="0.25">
      <c r="A88" s="25" t="s">
        <v>161</v>
      </c>
      <c r="B88" s="25"/>
    </row>
    <row r="89" spans="1:3" ht="15.75" customHeight="1" x14ac:dyDescent="0.25">
      <c r="A89" s="25" t="s">
        <v>637</v>
      </c>
      <c r="B89" s="25"/>
    </row>
    <row r="90" spans="1:3" ht="15.75" customHeight="1" x14ac:dyDescent="0.25">
      <c r="A90" s="256" t="s">
        <v>908</v>
      </c>
      <c r="B90" s="256"/>
      <c r="C90" s="33">
        <f>ROUND(3.5*'3. rezsióradíj mérnökóradíj'!D4*1,0)</f>
        <v>14000</v>
      </c>
    </row>
    <row r="91" spans="1:3" ht="15.75" customHeight="1" x14ac:dyDescent="0.25">
      <c r="A91" s="25" t="s">
        <v>163</v>
      </c>
      <c r="B91" s="25"/>
      <c r="C91" s="33">
        <f>'4. kiszállás díja'!C10</f>
        <v>5000</v>
      </c>
    </row>
    <row r="92" spans="1:3" x14ac:dyDescent="0.25">
      <c r="A92" s="28" t="s">
        <v>164</v>
      </c>
      <c r="B92" s="28"/>
      <c r="C92" s="138">
        <f>ROUND((C90+C91)*0.2,0)</f>
        <v>3800</v>
      </c>
    </row>
    <row r="93" spans="1:3" x14ac:dyDescent="0.25">
      <c r="A93" s="30" t="s">
        <v>86</v>
      </c>
      <c r="B93" s="30"/>
      <c r="C93" s="74" t="s">
        <v>119</v>
      </c>
    </row>
    <row r="94" spans="1:3" s="301" customFormat="1" x14ac:dyDescent="0.25">
      <c r="A94" s="28" t="s">
        <v>106</v>
      </c>
      <c r="B94" s="28"/>
      <c r="C94" s="77" t="s">
        <v>119</v>
      </c>
    </row>
    <row r="95" spans="1:3" x14ac:dyDescent="0.25">
      <c r="A95" s="31" t="s">
        <v>107</v>
      </c>
      <c r="B95" s="31"/>
      <c r="C95" s="78" t="s">
        <v>119</v>
      </c>
    </row>
    <row r="96" spans="1:3" s="56" customFormat="1" ht="15.75" customHeight="1" x14ac:dyDescent="0.25">
      <c r="A96" s="302"/>
      <c r="B96" s="302"/>
      <c r="C96" s="79"/>
    </row>
    <row r="97" spans="1:3" x14ac:dyDescent="0.25">
      <c r="A97" s="302"/>
      <c r="B97" s="302"/>
      <c r="C97" s="79"/>
    </row>
    <row r="98" spans="1:3" ht="15.75" customHeight="1" x14ac:dyDescent="0.25">
      <c r="A98" s="70" t="s">
        <v>167</v>
      </c>
      <c r="B98" s="302"/>
      <c r="C98" s="79"/>
    </row>
    <row r="99" spans="1:3" x14ac:dyDescent="0.25">
      <c r="A99" s="625" t="s">
        <v>168</v>
      </c>
      <c r="B99" s="625"/>
      <c r="C99" s="625"/>
    </row>
    <row r="100" spans="1:3" s="301" customFormat="1" x14ac:dyDescent="0.25">
      <c r="A100" s="622" t="s">
        <v>169</v>
      </c>
      <c r="B100" s="622"/>
      <c r="C100" s="622"/>
    </row>
    <row r="101" spans="1:3" x14ac:dyDescent="0.25">
      <c r="A101" s="25"/>
      <c r="B101" s="302"/>
      <c r="C101" s="79"/>
    </row>
    <row r="102" spans="1:3" x14ac:dyDescent="0.25">
      <c r="A102" s="25"/>
      <c r="B102" s="302"/>
      <c r="C102" s="79"/>
    </row>
    <row r="103" spans="1:3" x14ac:dyDescent="0.25">
      <c r="A103" s="69" t="s">
        <v>170</v>
      </c>
      <c r="B103" s="72"/>
      <c r="C103" s="72"/>
    </row>
    <row r="104" spans="1:3" x14ac:dyDescent="0.25">
      <c r="A104" s="371" t="s">
        <v>118</v>
      </c>
      <c r="B104" s="25"/>
      <c r="C104" s="72"/>
    </row>
    <row r="105" spans="1:3" ht="30" customHeight="1" x14ac:dyDescent="0.25">
      <c r="A105" s="25"/>
      <c r="B105" s="25"/>
      <c r="C105" s="143"/>
    </row>
    <row r="106" spans="1:3" x14ac:dyDescent="0.25">
      <c r="A106" s="256" t="s">
        <v>171</v>
      </c>
      <c r="C106" s="153">
        <f>ROUND((4305+5645+3470+5660+144)*1.2,0)</f>
        <v>23069</v>
      </c>
    </row>
    <row r="107" spans="1:3" x14ac:dyDescent="0.25">
      <c r="A107" s="25" t="s">
        <v>637</v>
      </c>
      <c r="B107" s="80"/>
      <c r="C107" s="143"/>
    </row>
    <row r="108" spans="1:3" x14ac:dyDescent="0.25">
      <c r="A108" s="256" t="s">
        <v>706</v>
      </c>
      <c r="B108" s="25"/>
      <c r="C108" s="33">
        <f>ROUND(3*4000,0)</f>
        <v>12000</v>
      </c>
    </row>
    <row r="109" spans="1:3" x14ac:dyDescent="0.25">
      <c r="A109" s="28" t="s">
        <v>163</v>
      </c>
      <c r="B109" s="28"/>
      <c r="C109" s="138">
        <f>'4. kiszállás díja'!C10</f>
        <v>5000</v>
      </c>
    </row>
    <row r="110" spans="1:3" x14ac:dyDescent="0.25">
      <c r="A110" s="30" t="s">
        <v>110</v>
      </c>
      <c r="C110" s="144">
        <f>SUM(C106:C109)</f>
        <v>40069</v>
      </c>
    </row>
    <row r="111" spans="1:3" x14ac:dyDescent="0.25">
      <c r="A111" s="25" t="s">
        <v>106</v>
      </c>
      <c r="C111" s="80">
        <f>ROUND(C110*0.27,0)</f>
        <v>10819</v>
      </c>
    </row>
    <row r="112" spans="1:3" x14ac:dyDescent="0.25">
      <c r="A112" s="31" t="s">
        <v>107</v>
      </c>
      <c r="B112" s="81"/>
      <c r="C112" s="569">
        <f>ROUND(SUM(C110:C111)/5,0)*5</f>
        <v>50890</v>
      </c>
    </row>
    <row r="113" spans="1:3" x14ac:dyDescent="0.25">
      <c r="A113" s="302"/>
      <c r="B113" s="79"/>
      <c r="C113" s="447"/>
    </row>
    <row r="114" spans="1:3" ht="51.75" customHeight="1" x14ac:dyDescent="0.25">
      <c r="A114" s="25"/>
      <c r="B114" s="72"/>
      <c r="C114" s="72"/>
    </row>
    <row r="115" spans="1:3" ht="45.75" customHeight="1" x14ac:dyDescent="0.25">
      <c r="A115" s="639" t="s">
        <v>172</v>
      </c>
      <c r="B115" s="639"/>
      <c r="C115" s="639"/>
    </row>
    <row r="116" spans="1:3" x14ac:dyDescent="0.25">
      <c r="A116" s="50"/>
      <c r="B116" s="72"/>
      <c r="C116" s="72"/>
    </row>
    <row r="117" spans="1:3" x14ac:dyDescent="0.25">
      <c r="A117" s="69" t="s">
        <v>173</v>
      </c>
      <c r="B117" s="72"/>
      <c r="C117" s="72"/>
    </row>
    <row r="118" spans="1:3" s="56" customFormat="1" ht="24" customHeight="1" x14ac:dyDescent="0.25">
      <c r="A118" s="371" t="s">
        <v>118</v>
      </c>
      <c r="B118" s="25"/>
      <c r="C118" s="25"/>
    </row>
    <row r="119" spans="1:3" x14ac:dyDescent="0.25">
      <c r="A119" s="25"/>
      <c r="B119" s="25"/>
      <c r="C119" s="25"/>
    </row>
    <row r="120" spans="1:3" ht="15.75" customHeight="1" x14ac:dyDescent="0.25">
      <c r="A120" s="256" t="s">
        <v>174</v>
      </c>
      <c r="C120" s="33">
        <f>ROUND(((5717+1320+990+4305+5645+3470+5660+144)*1.2)+(6*'3. rezsióradíj mérnökóradíj'!D4)+('4. kiszállás díja'!C10),0)</f>
        <v>61701</v>
      </c>
    </row>
    <row r="121" spans="1:3" x14ac:dyDescent="0.25">
      <c r="A121" s="28" t="s">
        <v>175</v>
      </c>
      <c r="B121" s="82"/>
      <c r="C121" s="83">
        <f>ROUND(C120*0.27,0)</f>
        <v>16659</v>
      </c>
    </row>
    <row r="122" spans="1:3" x14ac:dyDescent="0.25">
      <c r="A122" s="31" t="s">
        <v>176</v>
      </c>
      <c r="B122" s="81"/>
      <c r="C122" s="577">
        <f>ROUND(SUM(C120:C121)/5,0)*5</f>
        <v>78360</v>
      </c>
    </row>
    <row r="123" spans="1:3" x14ac:dyDescent="0.25">
      <c r="A123" s="25"/>
      <c r="B123" s="25"/>
      <c r="C123" s="25"/>
    </row>
    <row r="124" spans="1:3" ht="30" customHeight="1" x14ac:dyDescent="0.25">
      <c r="A124" s="25" t="s">
        <v>177</v>
      </c>
      <c r="B124" s="25"/>
      <c r="C124" s="25"/>
    </row>
    <row r="125" spans="1:3" x14ac:dyDescent="0.25">
      <c r="A125" s="50"/>
      <c r="B125" s="72"/>
      <c r="C125" s="72"/>
    </row>
    <row r="131" spans="1:3" x14ac:dyDescent="0.25">
      <c r="A131" s="25"/>
      <c r="B131" s="25"/>
      <c r="C131" s="26"/>
    </row>
    <row r="132" spans="1:3" x14ac:dyDescent="0.25">
      <c r="C132" s="26"/>
    </row>
    <row r="133" spans="1:3" x14ac:dyDescent="0.25">
      <c r="C133" s="26"/>
    </row>
    <row r="134" spans="1:3" x14ac:dyDescent="0.25">
      <c r="C134" s="26"/>
    </row>
    <row r="135" spans="1:3" ht="36.75" customHeight="1" x14ac:dyDescent="0.25">
      <c r="C135" s="26"/>
    </row>
    <row r="136" spans="1:3" x14ac:dyDescent="0.25">
      <c r="C136" s="26"/>
    </row>
    <row r="137" spans="1:3" x14ac:dyDescent="0.25">
      <c r="C137" s="26"/>
    </row>
    <row r="138" spans="1:3" x14ac:dyDescent="0.25">
      <c r="C138" s="26"/>
    </row>
    <row r="139" spans="1:3" x14ac:dyDescent="0.25">
      <c r="C139" s="26"/>
    </row>
    <row r="140" spans="1:3" x14ac:dyDescent="0.25">
      <c r="C140" s="26"/>
    </row>
    <row r="141" spans="1:3" x14ac:dyDescent="0.25">
      <c r="C141" s="26"/>
    </row>
    <row r="142" spans="1:3" x14ac:dyDescent="0.25">
      <c r="C142" s="26"/>
    </row>
    <row r="143" spans="1:3" x14ac:dyDescent="0.25">
      <c r="C143" s="26"/>
    </row>
    <row r="144" spans="1:3" x14ac:dyDescent="0.25">
      <c r="C144" s="26"/>
    </row>
    <row r="145" spans="3:3" x14ac:dyDescent="0.25">
      <c r="C145" s="26"/>
    </row>
  </sheetData>
  <mergeCells count="9">
    <mergeCell ref="A99:C99"/>
    <mergeCell ref="A100:C100"/>
    <mergeCell ref="A115:C115"/>
    <mergeCell ref="A1:C1"/>
    <mergeCell ref="A2:C2"/>
    <mergeCell ref="A29:C29"/>
    <mergeCell ref="A35:C35"/>
    <mergeCell ref="A36:C36"/>
    <mergeCell ref="A69:C69"/>
  </mergeCells>
  <printOptions horizontalCentered="1"/>
  <pageMargins left="0.7" right="0.7" top="0.75" bottom="0.75" header="0.3" footer="0.3"/>
  <pageSetup paperSize="9" scale="3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showGridLines="0" topLeftCell="A7" zoomScale="80" zoomScaleNormal="80" workbookViewId="0">
      <selection activeCell="D26" sqref="D26"/>
    </sheetView>
  </sheetViews>
  <sheetFormatPr defaultColWidth="9.140625" defaultRowHeight="15" x14ac:dyDescent="0.25"/>
  <cols>
    <col min="1" max="1" width="78.28515625" style="207" bestFit="1" customWidth="1"/>
    <col min="2" max="2" width="35.42578125" style="207" customWidth="1"/>
    <col min="3" max="3" width="9.140625" style="207"/>
    <col min="4" max="4" width="40.5703125" style="207" customWidth="1"/>
    <col min="5" max="5" width="13.28515625" style="207" customWidth="1"/>
    <col min="6" max="6" width="3.28515625" style="207" customWidth="1"/>
    <col min="7" max="7" width="50.7109375" style="207" customWidth="1"/>
    <col min="8" max="8" width="21.140625" style="207" customWidth="1"/>
    <col min="9" max="9" width="3.42578125" style="207" customWidth="1"/>
    <col min="10" max="10" width="49.5703125" style="207" customWidth="1"/>
    <col min="11" max="11" width="9.140625" style="207" customWidth="1"/>
    <col min="12" max="16384" width="9.140625" style="207"/>
  </cols>
  <sheetData>
    <row r="1" spans="1:2" ht="31.5" customHeight="1" x14ac:dyDescent="0.25"/>
    <row r="2" spans="1:2" x14ac:dyDescent="0.25">
      <c r="A2" s="621" t="s">
        <v>431</v>
      </c>
      <c r="B2" s="621"/>
    </row>
    <row r="3" spans="1:2" ht="15" customHeight="1" x14ac:dyDescent="0.25">
      <c r="A3" s="454"/>
      <c r="B3" s="454"/>
    </row>
    <row r="4" spans="1:2" ht="14.45" customHeight="1" x14ac:dyDescent="0.25">
      <c r="A4" s="630" t="s">
        <v>100</v>
      </c>
      <c r="B4" s="630"/>
    </row>
    <row r="5" spans="1:2" x14ac:dyDescent="0.25">
      <c r="A5" s="630"/>
      <c r="B5" s="630"/>
    </row>
    <row r="6" spans="1:2" x14ac:dyDescent="0.25">
      <c r="A6" s="25" t="s">
        <v>125</v>
      </c>
      <c r="B6" s="25"/>
    </row>
    <row r="7" spans="1:2" x14ac:dyDescent="0.25">
      <c r="A7" s="25"/>
      <c r="B7" s="25"/>
    </row>
    <row r="8" spans="1:2" x14ac:dyDescent="0.25">
      <c r="A8" s="25" t="s">
        <v>751</v>
      </c>
      <c r="B8" s="25"/>
    </row>
    <row r="9" spans="1:2" x14ac:dyDescent="0.25">
      <c r="A9" s="256"/>
      <c r="B9" s="477" t="s">
        <v>752</v>
      </c>
    </row>
    <row r="10" spans="1:2" x14ac:dyDescent="0.25">
      <c r="A10" s="256" t="s">
        <v>463</v>
      </c>
      <c r="B10" s="478">
        <f>ROUND(((108*2)+12)*1.2,0)</f>
        <v>274</v>
      </c>
    </row>
    <row r="11" spans="1:2" x14ac:dyDescent="0.25">
      <c r="A11" s="58" t="s">
        <v>753</v>
      </c>
      <c r="B11" s="479">
        <f>ROUND(4*'[2]3. szakmai átlagórabérek'!D4*2,0)</f>
        <v>32000</v>
      </c>
    </row>
    <row r="12" spans="1:2" x14ac:dyDescent="0.25">
      <c r="A12" s="58" t="s">
        <v>722</v>
      </c>
      <c r="B12" s="479">
        <f>ROUND((4*5700)+(4*'[2]3. szakmai átlagórabérek'!D4),0)</f>
        <v>38800</v>
      </c>
    </row>
    <row r="13" spans="1:2" x14ac:dyDescent="0.25">
      <c r="A13" s="141" t="s">
        <v>109</v>
      </c>
      <c r="B13" s="36">
        <f>'[2]4. kiszállás díja'!C10</f>
        <v>5000</v>
      </c>
    </row>
    <row r="14" spans="1:2" x14ac:dyDescent="0.25">
      <c r="A14" s="141" t="s">
        <v>723</v>
      </c>
      <c r="B14" s="36">
        <v>13020</v>
      </c>
    </row>
    <row r="15" spans="1:2" ht="15" customHeight="1" x14ac:dyDescent="0.25">
      <c r="A15" s="30" t="s">
        <v>110</v>
      </c>
      <c r="B15" s="54">
        <f>SUM(B10:B14)</f>
        <v>89094</v>
      </c>
    </row>
    <row r="16" spans="1:2" x14ac:dyDescent="0.25">
      <c r="A16" s="28" t="s">
        <v>111</v>
      </c>
      <c r="B16" s="138">
        <f>ROUND((B11+B12+B13)*0.2,0)</f>
        <v>15160</v>
      </c>
    </row>
    <row r="17" spans="1:2" x14ac:dyDescent="0.25">
      <c r="A17" s="84" t="s">
        <v>86</v>
      </c>
      <c r="B17" s="85">
        <f>SUM(B15:B16)</f>
        <v>104254</v>
      </c>
    </row>
    <row r="18" spans="1:2" x14ac:dyDescent="0.25">
      <c r="A18" s="25" t="s">
        <v>106</v>
      </c>
      <c r="B18" s="26">
        <f>ROUND(B17*0.27,0)</f>
        <v>28149</v>
      </c>
    </row>
    <row r="19" spans="1:2" x14ac:dyDescent="0.25">
      <c r="A19" s="31" t="s">
        <v>107</v>
      </c>
      <c r="B19" s="568">
        <f>ROUND(SUM(B17:B18)/5,0)*5</f>
        <v>132405</v>
      </c>
    </row>
    <row r="20" spans="1:2" x14ac:dyDescent="0.25">
      <c r="A20" s="25"/>
      <c r="B20" s="25"/>
    </row>
    <row r="21" spans="1:2" x14ac:dyDescent="0.25">
      <c r="A21" s="25"/>
      <c r="B21" s="25"/>
    </row>
    <row r="22" spans="1:2" x14ac:dyDescent="0.25">
      <c r="A22" s="25" t="s">
        <v>754</v>
      </c>
      <c r="B22" s="25"/>
    </row>
    <row r="23" spans="1:2" x14ac:dyDescent="0.25">
      <c r="A23" s="25"/>
      <c r="B23" s="25"/>
    </row>
    <row r="24" spans="1:2" x14ac:dyDescent="0.25">
      <c r="A24" s="256" t="s">
        <v>463</v>
      </c>
      <c r="B24" s="478">
        <f>ROUND(((108*2)+12)*1.2,0)</f>
        <v>274</v>
      </c>
    </row>
    <row r="25" spans="1:2" x14ac:dyDescent="0.25">
      <c r="A25" s="58" t="s">
        <v>755</v>
      </c>
      <c r="B25" s="479">
        <f>ROUND(5*'[2]3. szakmai átlagórabérek'!D4*2,0)</f>
        <v>40000</v>
      </c>
    </row>
    <row r="26" spans="1:2" x14ac:dyDescent="0.25">
      <c r="A26" s="58" t="s">
        <v>756</v>
      </c>
      <c r="B26" s="479">
        <f>ROUND((5*5700)+(5*'[2]3. szakmai átlagórabérek'!D4),0)</f>
        <v>48500</v>
      </c>
    </row>
    <row r="27" spans="1:2" x14ac:dyDescent="0.25">
      <c r="A27" s="141" t="s">
        <v>109</v>
      </c>
      <c r="B27" s="36">
        <f>'[2]4. kiszállás díja'!C10</f>
        <v>5000</v>
      </c>
    </row>
    <row r="28" spans="1:2" x14ac:dyDescent="0.25">
      <c r="A28" s="141" t="s">
        <v>723</v>
      </c>
      <c r="B28" s="36">
        <v>13020</v>
      </c>
    </row>
    <row r="29" spans="1:2" x14ac:dyDescent="0.25">
      <c r="A29" s="30" t="s">
        <v>110</v>
      </c>
      <c r="B29" s="54">
        <f>SUM(B24:B28)</f>
        <v>106794</v>
      </c>
    </row>
    <row r="30" spans="1:2" x14ac:dyDescent="0.25">
      <c r="A30" s="28" t="s">
        <v>111</v>
      </c>
      <c r="B30" s="138">
        <f>ROUND((B25+B26+B27)*0.2,0)</f>
        <v>18700</v>
      </c>
    </row>
    <row r="31" spans="1:2" x14ac:dyDescent="0.25">
      <c r="A31" s="84" t="s">
        <v>86</v>
      </c>
      <c r="B31" s="85">
        <f>SUM(B29:B30)</f>
        <v>125494</v>
      </c>
    </row>
    <row r="32" spans="1:2" x14ac:dyDescent="0.25">
      <c r="A32" s="25" t="s">
        <v>106</v>
      </c>
      <c r="B32" s="26">
        <f>ROUND(B31*0.27,0)</f>
        <v>33883</v>
      </c>
    </row>
    <row r="33" spans="1:2" x14ac:dyDescent="0.25">
      <c r="A33" s="31" t="s">
        <v>107</v>
      </c>
      <c r="B33" s="568">
        <f>ROUND(SUM(B31:B32)/5,0)*5</f>
        <v>159375</v>
      </c>
    </row>
    <row r="34" spans="1:2" x14ac:dyDescent="0.25">
      <c r="A34" s="302"/>
      <c r="B34" s="181"/>
    </row>
    <row r="35" spans="1:2" x14ac:dyDescent="0.25">
      <c r="A35" s="25" t="s">
        <v>178</v>
      </c>
      <c r="B35" s="25"/>
    </row>
    <row r="36" spans="1:2" x14ac:dyDescent="0.25">
      <c r="A36" s="25" t="s">
        <v>638</v>
      </c>
      <c r="B36" s="25"/>
    </row>
    <row r="37" spans="1:2" x14ac:dyDescent="0.25">
      <c r="A37" s="25"/>
      <c r="B37" s="25"/>
    </row>
    <row r="38" spans="1:2" x14ac:dyDescent="0.25">
      <c r="A38" s="25"/>
      <c r="B38" s="25"/>
    </row>
    <row r="39" spans="1:2" ht="45" customHeight="1" x14ac:dyDescent="0.25">
      <c r="A39" s="640" t="s">
        <v>696</v>
      </c>
      <c r="B39" s="640"/>
    </row>
    <row r="41" spans="1:2" x14ac:dyDescent="0.25">
      <c r="A41" s="207" t="s">
        <v>919</v>
      </c>
    </row>
  </sheetData>
  <mergeCells count="3">
    <mergeCell ref="A39:B39"/>
    <mergeCell ref="A2:B2"/>
    <mergeCell ref="A4:B5"/>
  </mergeCells>
  <pageMargins left="0.7" right="0.7" top="0.75" bottom="0.75" header="0.3" footer="0.3"/>
  <pageSetup paperSize="9" scale="2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zoomScaleNormal="100" zoomScaleSheetLayoutView="100" workbookViewId="0">
      <selection activeCell="E17" sqref="E17"/>
    </sheetView>
  </sheetViews>
  <sheetFormatPr defaultColWidth="9.140625" defaultRowHeight="15" x14ac:dyDescent="0.25"/>
  <cols>
    <col min="1" max="1" width="58" style="20" customWidth="1"/>
    <col min="2" max="3" width="11.7109375" style="20" bestFit="1" customWidth="1"/>
    <col min="4" max="4" width="6.7109375" style="20" customWidth="1"/>
    <col min="5" max="5" width="6.85546875" style="20" bestFit="1" customWidth="1"/>
    <col min="6" max="6" width="9" style="20" customWidth="1"/>
    <col min="7" max="7" width="8.7109375" style="20" customWidth="1"/>
    <col min="8" max="8" width="12.7109375" style="20" customWidth="1"/>
    <col min="9" max="9" width="11.7109375" style="20" bestFit="1" customWidth="1"/>
    <col min="10" max="16384" width="9.140625" style="20"/>
  </cols>
  <sheetData>
    <row r="1" spans="1:8" ht="54" customHeight="1" x14ac:dyDescent="0.25">
      <c r="A1" s="621" t="s">
        <v>432</v>
      </c>
      <c r="B1" s="621"/>
      <c r="C1" s="621"/>
      <c r="H1" s="274"/>
    </row>
    <row r="2" spans="1:8" ht="57.75" customHeight="1" x14ac:dyDescent="0.25">
      <c r="A2" s="630" t="s">
        <v>179</v>
      </c>
      <c r="B2" s="630"/>
      <c r="C2" s="630"/>
    </row>
    <row r="3" spans="1:8" x14ac:dyDescent="0.25">
      <c r="A3" s="25"/>
      <c r="B3" s="25"/>
      <c r="E3" s="631" t="s">
        <v>576</v>
      </c>
      <c r="F3" s="631"/>
      <c r="G3" s="631"/>
      <c r="H3" s="314" t="s">
        <v>602</v>
      </c>
    </row>
    <row r="4" spans="1:8" ht="46.5" customHeight="1" x14ac:dyDescent="0.25">
      <c r="A4" s="280" t="s">
        <v>118</v>
      </c>
      <c r="B4" s="25"/>
      <c r="E4" s="290" t="s">
        <v>575</v>
      </c>
      <c r="F4" s="290" t="s">
        <v>574</v>
      </c>
      <c r="G4" s="291" t="s">
        <v>573</v>
      </c>
      <c r="H4" s="290" t="s">
        <v>579</v>
      </c>
    </row>
    <row r="5" spans="1:8" x14ac:dyDescent="0.25">
      <c r="E5" s="292" t="s">
        <v>572</v>
      </c>
      <c r="F5" s="293">
        <v>170</v>
      </c>
      <c r="G5" s="294">
        <f>ROUND(5864*1.23,0)</f>
        <v>7213</v>
      </c>
      <c r="H5" s="641">
        <f>ROUND(117*1.23,0)</f>
        <v>144</v>
      </c>
    </row>
    <row r="6" spans="1:8" x14ac:dyDescent="0.25">
      <c r="A6" s="625" t="s">
        <v>737</v>
      </c>
      <c r="B6" s="625"/>
      <c r="C6" s="625"/>
      <c r="D6" s="71"/>
      <c r="E6" s="292" t="s">
        <v>571</v>
      </c>
      <c r="F6" s="295">
        <v>190</v>
      </c>
      <c r="G6" s="294">
        <f>ROUND(5866*1.23,0)</f>
        <v>7215</v>
      </c>
      <c r="H6" s="642"/>
    </row>
    <row r="7" spans="1:8" x14ac:dyDescent="0.25">
      <c r="A7" s="30"/>
      <c r="B7" s="35" t="s">
        <v>607</v>
      </c>
      <c r="C7" s="20" t="s">
        <v>606</v>
      </c>
    </row>
    <row r="8" spans="1:8" x14ac:dyDescent="0.25">
      <c r="A8" s="230" t="s">
        <v>463</v>
      </c>
      <c r="B8" s="183">
        <f>H5*1.2</f>
        <v>172.79999999999998</v>
      </c>
      <c r="C8" s="26">
        <f>H5*1.2</f>
        <v>172.79999999999998</v>
      </c>
    </row>
    <row r="9" spans="1:8" ht="15" customHeight="1" x14ac:dyDescent="0.25">
      <c r="A9" s="230" t="s">
        <v>631</v>
      </c>
      <c r="B9" s="183">
        <f>(G5*1.2)</f>
        <v>8655.6</v>
      </c>
      <c r="C9" s="26">
        <f>(G6*1.2)</f>
        <v>8658</v>
      </c>
    </row>
    <row r="10" spans="1:8" x14ac:dyDescent="0.25">
      <c r="A10" s="256" t="s">
        <v>707</v>
      </c>
      <c r="B10" s="95">
        <f>ROUND(1*'3. rezsióradíj mérnökóradíj'!D4*2,0)</f>
        <v>8000</v>
      </c>
      <c r="C10" s="95">
        <f>B10</f>
        <v>8000</v>
      </c>
      <c r="D10" s="301"/>
    </row>
    <row r="11" spans="1:8" x14ac:dyDescent="0.25">
      <c r="A11" s="63" t="s">
        <v>700</v>
      </c>
      <c r="B11" s="138">
        <f>'4. kiszállás díja'!C10</f>
        <v>5000</v>
      </c>
      <c r="C11" s="138">
        <f>B11</f>
        <v>5000</v>
      </c>
    </row>
    <row r="12" spans="1:8" x14ac:dyDescent="0.25">
      <c r="A12" s="30" t="s">
        <v>110</v>
      </c>
      <c r="B12" s="54">
        <f>SUM(B8:B11)</f>
        <v>21828.400000000001</v>
      </c>
      <c r="C12" s="54">
        <f>SUM(C8:C11)</f>
        <v>21830.799999999999</v>
      </c>
    </row>
    <row r="13" spans="1:8" x14ac:dyDescent="0.25">
      <c r="A13" s="28" t="s">
        <v>111</v>
      </c>
      <c r="B13" s="138">
        <f>ROUND((B10+B11)*0.2,0)</f>
        <v>2600</v>
      </c>
      <c r="C13" s="138">
        <f>ROUND((C10+C11)*0.2,0)</f>
        <v>2600</v>
      </c>
    </row>
    <row r="14" spans="1:8" x14ac:dyDescent="0.25">
      <c r="A14" s="84" t="s">
        <v>86</v>
      </c>
      <c r="B14" s="85">
        <f>SUM(B12:B13)</f>
        <v>24428.400000000001</v>
      </c>
      <c r="C14" s="85">
        <f>SUM(C12:C13)</f>
        <v>24430.799999999999</v>
      </c>
    </row>
    <row r="15" spans="1:8" x14ac:dyDescent="0.25">
      <c r="A15" s="25" t="s">
        <v>106</v>
      </c>
      <c r="B15" s="26">
        <f>ROUND(B14*0.27,0)</f>
        <v>6596</v>
      </c>
      <c r="C15" s="26">
        <f>ROUND(C14*0.27,0)</f>
        <v>6596</v>
      </c>
    </row>
    <row r="16" spans="1:8" s="56" customFormat="1" ht="27.75" customHeight="1" x14ac:dyDescent="0.25">
      <c r="A16" s="31" t="s">
        <v>107</v>
      </c>
      <c r="B16" s="568">
        <f>SUM(B14:B15)</f>
        <v>31024.400000000001</v>
      </c>
      <c r="C16" s="32">
        <f>SUM(C14:C15)</f>
        <v>31026.799999999999</v>
      </c>
      <c r="D16" s="20"/>
      <c r="E16" s="20"/>
      <c r="F16" s="20"/>
      <c r="G16" s="20"/>
    </row>
    <row r="17" spans="1:11" x14ac:dyDescent="0.25">
      <c r="A17" s="50"/>
      <c r="B17" s="136"/>
    </row>
    <row r="18" spans="1:11" x14ac:dyDescent="0.25">
      <c r="A18" s="25"/>
    </row>
    <row r="19" spans="1:11" x14ac:dyDescent="0.25">
      <c r="A19" s="20" t="s">
        <v>922</v>
      </c>
    </row>
    <row r="25" spans="1:11" x14ac:dyDescent="0.25">
      <c r="D25" s="355"/>
      <c r="E25" s="355"/>
      <c r="F25" s="355"/>
      <c r="G25" s="355"/>
      <c r="H25" s="355"/>
      <c r="I25" s="355"/>
      <c r="J25" s="355"/>
      <c r="K25" s="355"/>
    </row>
    <row r="37" spans="2:6" x14ac:dyDescent="0.25">
      <c r="B37" s="355"/>
      <c r="C37" s="355"/>
    </row>
    <row r="42" spans="2:6" x14ac:dyDescent="0.25">
      <c r="D42" s="355"/>
      <c r="E42" s="355"/>
      <c r="F42" s="355"/>
    </row>
    <row r="50" spans="2:4" x14ac:dyDescent="0.25">
      <c r="B50" s="355"/>
      <c r="C50" s="355"/>
    </row>
    <row r="55" spans="2:4" x14ac:dyDescent="0.25">
      <c r="D55" s="355"/>
    </row>
  </sheetData>
  <mergeCells count="5">
    <mergeCell ref="A2:C2"/>
    <mergeCell ref="E3:G3"/>
    <mergeCell ref="H5:H6"/>
    <mergeCell ref="A6:C6"/>
    <mergeCell ref="A1:C1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C24"/>
  <sheetViews>
    <sheetView showGridLines="0" topLeftCell="A16" zoomScaleNormal="100" zoomScaleSheetLayoutView="100" workbookViewId="0">
      <selection activeCell="A29" sqref="A29"/>
    </sheetView>
  </sheetViews>
  <sheetFormatPr defaultColWidth="9.140625" defaultRowHeight="15" x14ac:dyDescent="0.25"/>
  <cols>
    <col min="1" max="1" width="33.140625" style="10" customWidth="1"/>
    <col min="2" max="2" width="4.5703125" style="10" customWidth="1"/>
    <col min="3" max="3" width="55.5703125" style="10" customWidth="1"/>
    <col min="4" max="16384" width="9.140625" style="10"/>
  </cols>
  <sheetData>
    <row r="1" spans="1:3" ht="42" customHeight="1" x14ac:dyDescent="0.25">
      <c r="A1" s="612" t="s">
        <v>51</v>
      </c>
      <c r="B1" s="612"/>
      <c r="C1" s="612"/>
    </row>
    <row r="2" spans="1:3" ht="57.75" customHeight="1" x14ac:dyDescent="0.25">
      <c r="A2" s="613" t="s">
        <v>52</v>
      </c>
      <c r="B2" s="613"/>
      <c r="C2" s="613"/>
    </row>
    <row r="3" spans="1:3" ht="30" customHeight="1" x14ac:dyDescent="0.25">
      <c r="A3" s="11" t="s">
        <v>613</v>
      </c>
      <c r="B3" s="11"/>
      <c r="C3" s="11" t="s">
        <v>423</v>
      </c>
    </row>
    <row r="4" spans="1:3" ht="30" customHeight="1" x14ac:dyDescent="0.25">
      <c r="A4" s="11" t="s">
        <v>611</v>
      </c>
      <c r="B4" s="11"/>
      <c r="C4" s="11" t="s">
        <v>612</v>
      </c>
    </row>
    <row r="5" spans="1:3" ht="30" customHeight="1" x14ac:dyDescent="0.25">
      <c r="A5" s="11" t="s">
        <v>53</v>
      </c>
      <c r="B5" s="11"/>
      <c r="C5" s="11" t="s">
        <v>54</v>
      </c>
    </row>
    <row r="6" spans="1:3" ht="30" customHeight="1" x14ac:dyDescent="0.25">
      <c r="A6" s="11" t="s">
        <v>614</v>
      </c>
      <c r="B6" s="11"/>
      <c r="C6" s="11" t="s">
        <v>458</v>
      </c>
    </row>
    <row r="7" spans="1:3" ht="30" customHeight="1" x14ac:dyDescent="0.25">
      <c r="A7" s="11" t="s">
        <v>55</v>
      </c>
      <c r="B7" s="11"/>
      <c r="C7" s="11" t="s">
        <v>56</v>
      </c>
    </row>
    <row r="8" spans="1:3" ht="30" customHeight="1" x14ac:dyDescent="0.25">
      <c r="A8" s="11" t="s">
        <v>57</v>
      </c>
      <c r="B8" s="11"/>
      <c r="C8" s="11" t="s">
        <v>58</v>
      </c>
    </row>
    <row r="9" spans="1:3" ht="30" customHeight="1" x14ac:dyDescent="0.25">
      <c r="A9" s="11" t="s">
        <v>59</v>
      </c>
      <c r="B9" s="11"/>
      <c r="C9" s="11" t="s">
        <v>60</v>
      </c>
    </row>
    <row r="10" spans="1:3" ht="30" customHeight="1" x14ac:dyDescent="0.25">
      <c r="A10" s="11" t="s">
        <v>61</v>
      </c>
      <c r="B10" s="11"/>
      <c r="C10" s="11" t="s">
        <v>62</v>
      </c>
    </row>
    <row r="11" spans="1:3" ht="30" customHeight="1" x14ac:dyDescent="0.25">
      <c r="A11" s="11" t="s">
        <v>63</v>
      </c>
      <c r="B11" s="11"/>
      <c r="C11" s="11" t="s">
        <v>64</v>
      </c>
    </row>
    <row r="12" spans="1:3" ht="30" customHeight="1" x14ac:dyDescent="0.25">
      <c r="A12" s="11" t="s">
        <v>65</v>
      </c>
      <c r="B12" s="11"/>
      <c r="C12" s="12" t="s">
        <v>66</v>
      </c>
    </row>
    <row r="13" spans="1:3" ht="30" customHeight="1" x14ac:dyDescent="0.25">
      <c r="A13" s="11" t="s">
        <v>67</v>
      </c>
      <c r="B13" s="11"/>
      <c r="C13" s="11" t="s">
        <v>68</v>
      </c>
    </row>
    <row r="14" spans="1:3" ht="30" customHeight="1" x14ac:dyDescent="0.25">
      <c r="A14" s="11" t="s">
        <v>459</v>
      </c>
      <c r="B14" s="11"/>
      <c r="C14" s="12" t="s">
        <v>460</v>
      </c>
    </row>
    <row r="15" spans="1:3" ht="30" customHeight="1" x14ac:dyDescent="0.25">
      <c r="A15" s="11" t="s">
        <v>69</v>
      </c>
      <c r="B15" s="11"/>
      <c r="C15" s="11" t="s">
        <v>70</v>
      </c>
    </row>
    <row r="16" spans="1:3" ht="30" customHeight="1" x14ac:dyDescent="0.25">
      <c r="A16" s="11" t="s">
        <v>71</v>
      </c>
      <c r="B16" s="11"/>
      <c r="C16" s="12" t="s">
        <v>72</v>
      </c>
    </row>
    <row r="17" spans="1:3" ht="30" customHeight="1" x14ac:dyDescent="0.25">
      <c r="A17" s="11" t="s">
        <v>73</v>
      </c>
      <c r="B17" s="11"/>
      <c r="C17" s="12" t="s">
        <v>74</v>
      </c>
    </row>
    <row r="18" spans="1:3" ht="30" customHeight="1" x14ac:dyDescent="0.25">
      <c r="A18" s="11" t="s">
        <v>75</v>
      </c>
      <c r="B18" s="11"/>
      <c r="C18" s="11" t="s">
        <v>76</v>
      </c>
    </row>
    <row r="19" spans="1:3" ht="30" customHeight="1" x14ac:dyDescent="0.25">
      <c r="A19" s="11" t="s">
        <v>77</v>
      </c>
      <c r="B19" s="11"/>
      <c r="C19" s="12" t="s">
        <v>78</v>
      </c>
    </row>
    <row r="20" spans="1:3" ht="60.75" customHeight="1" x14ac:dyDescent="0.25">
      <c r="A20" s="11" t="s">
        <v>79</v>
      </c>
      <c r="B20" s="11"/>
      <c r="C20" s="12" t="s">
        <v>80</v>
      </c>
    </row>
    <row r="22" spans="1:3" x14ac:dyDescent="0.25">
      <c r="C22" s="13" t="s">
        <v>81</v>
      </c>
    </row>
    <row r="23" spans="1:3" x14ac:dyDescent="0.25">
      <c r="C23" s="13" t="s">
        <v>81</v>
      </c>
    </row>
    <row r="24" spans="1:3" ht="13.9" x14ac:dyDescent="0.25">
      <c r="C24" s="13"/>
    </row>
  </sheetData>
  <mergeCells count="2">
    <mergeCell ref="A1:C1"/>
    <mergeCell ref="A2:C2"/>
  </mergeCells>
  <printOptions horizontalCentered="1"/>
  <pageMargins left="0.31496062992125984" right="0.39370078740157483" top="0.550000000000000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/>
  <dimension ref="A1:C9"/>
  <sheetViews>
    <sheetView showGridLines="0" zoomScaleNormal="100" zoomScaleSheetLayoutView="100" workbookViewId="0">
      <selection activeCell="D9" sqref="D9"/>
    </sheetView>
  </sheetViews>
  <sheetFormatPr defaultColWidth="9.140625" defaultRowHeight="15" x14ac:dyDescent="0.25"/>
  <cols>
    <col min="1" max="1" width="54.7109375" style="20" customWidth="1"/>
    <col min="2" max="2" width="13" style="20" customWidth="1"/>
    <col min="3" max="3" width="15.7109375" style="20" customWidth="1"/>
    <col min="4" max="4" width="6.7109375" style="20" customWidth="1"/>
    <col min="5" max="5" width="19.85546875" style="20" bestFit="1" customWidth="1"/>
    <col min="6" max="6" width="7.140625" style="20" customWidth="1"/>
    <col min="7" max="7" width="6.7109375" style="20" bestFit="1" customWidth="1"/>
    <col min="8" max="8" width="55.28515625" style="20" bestFit="1" customWidth="1"/>
    <col min="9" max="9" width="11.7109375" style="20" bestFit="1" customWidth="1"/>
    <col min="10" max="16384" width="9.140625" style="20"/>
  </cols>
  <sheetData>
    <row r="1" spans="1:3" ht="54" customHeight="1" x14ac:dyDescent="0.25">
      <c r="A1" s="621" t="s">
        <v>547</v>
      </c>
      <c r="B1" s="621"/>
      <c r="C1" s="621"/>
    </row>
    <row r="2" spans="1:3" ht="57.75" customHeight="1" x14ac:dyDescent="0.25">
      <c r="A2" s="630" t="s">
        <v>546</v>
      </c>
      <c r="B2" s="630"/>
      <c r="C2" s="630"/>
    </row>
    <row r="3" spans="1:3" x14ac:dyDescent="0.25">
      <c r="A3" s="25"/>
      <c r="B3" s="25"/>
    </row>
    <row r="4" spans="1:3" x14ac:dyDescent="0.25">
      <c r="A4" s="267" t="s">
        <v>118</v>
      </c>
      <c r="B4" s="25"/>
    </row>
    <row r="6" spans="1:3" x14ac:dyDescent="0.25">
      <c r="A6" s="40" t="s">
        <v>545</v>
      </c>
      <c r="B6" s="644">
        <v>10000</v>
      </c>
      <c r="C6" s="644"/>
    </row>
    <row r="7" spans="1:3" x14ac:dyDescent="0.25">
      <c r="A7" s="40"/>
      <c r="B7" s="36"/>
      <c r="C7" s="33"/>
    </row>
    <row r="8" spans="1:3" x14ac:dyDescent="0.25">
      <c r="A8" s="50"/>
      <c r="B8" s="136"/>
    </row>
    <row r="9" spans="1:3" ht="61.5" customHeight="1" x14ac:dyDescent="0.25">
      <c r="A9" s="643" t="s">
        <v>618</v>
      </c>
      <c r="B9" s="643"/>
      <c r="C9" s="643"/>
    </row>
  </sheetData>
  <mergeCells count="4">
    <mergeCell ref="A1:C1"/>
    <mergeCell ref="A2:C2"/>
    <mergeCell ref="A9:C9"/>
    <mergeCell ref="B6:C6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topLeftCell="A7" zoomScaleNormal="100" zoomScaleSheetLayoutView="100" workbookViewId="0">
      <selection activeCell="D40" sqref="D40"/>
    </sheetView>
  </sheetViews>
  <sheetFormatPr defaultColWidth="9.140625" defaultRowHeight="15" x14ac:dyDescent="0.25"/>
  <cols>
    <col min="1" max="1" width="53.28515625" style="20" customWidth="1"/>
    <col min="2" max="2" width="13.7109375" style="20" bestFit="1" customWidth="1"/>
    <col min="3" max="3" width="7" style="20" customWidth="1"/>
    <col min="4" max="4" width="12" style="20" bestFit="1" customWidth="1"/>
    <col min="5" max="5" width="15.85546875" style="20" bestFit="1" customWidth="1"/>
    <col min="6" max="6" width="55.28515625" style="20" bestFit="1" customWidth="1"/>
    <col min="7" max="7" width="13.7109375" style="20" bestFit="1" customWidth="1"/>
    <col min="8" max="8" width="9.140625" style="20"/>
    <col min="9" max="9" width="12" style="20" bestFit="1" customWidth="1"/>
    <col min="10" max="10" width="19.85546875" style="20" bestFit="1" customWidth="1"/>
    <col min="11" max="11" width="5.5703125" style="20" bestFit="1" customWidth="1"/>
    <col min="12" max="16384" width="9.140625" style="20"/>
  </cols>
  <sheetData>
    <row r="1" spans="1:5" ht="42" customHeight="1" x14ac:dyDescent="0.25">
      <c r="A1" s="621" t="s">
        <v>931</v>
      </c>
      <c r="B1" s="621"/>
      <c r="C1" s="621"/>
      <c r="D1" s="621"/>
      <c r="E1" s="19"/>
    </row>
    <row r="2" spans="1:5" ht="67.5" customHeight="1" x14ac:dyDescent="0.25">
      <c r="A2" s="630" t="s">
        <v>180</v>
      </c>
      <c r="B2" s="630"/>
      <c r="C2" s="630"/>
      <c r="D2" s="630"/>
      <c r="E2" s="87"/>
    </row>
    <row r="3" spans="1:5" ht="13.5" customHeight="1" x14ac:dyDescent="0.25">
      <c r="A3" s="630"/>
      <c r="B3" s="630"/>
      <c r="C3" s="630"/>
      <c r="D3" s="630"/>
      <c r="E3" s="87"/>
    </row>
    <row r="4" spans="1:5" ht="30.75" customHeight="1" x14ac:dyDescent="0.25">
      <c r="A4" s="625" t="s">
        <v>737</v>
      </c>
      <c r="B4" s="625"/>
      <c r="C4" s="625"/>
      <c r="D4" s="625"/>
      <c r="E4" s="51"/>
    </row>
    <row r="5" spans="1:5" x14ac:dyDescent="0.25">
      <c r="A5" s="649"/>
      <c r="B5" s="649"/>
      <c r="C5" s="649"/>
      <c r="D5" s="649"/>
    </row>
    <row r="6" spans="1:5" x14ac:dyDescent="0.25">
      <c r="A6" s="70" t="s">
        <v>181</v>
      </c>
      <c r="B6" s="25"/>
      <c r="C6" s="25"/>
      <c r="D6" s="25"/>
    </row>
    <row r="7" spans="1:5" ht="13.9" customHeight="1" x14ac:dyDescent="0.25">
      <c r="A7" s="371" t="s">
        <v>118</v>
      </c>
      <c r="B7" s="25"/>
      <c r="C7" s="25"/>
      <c r="D7" s="25"/>
    </row>
    <row r="8" spans="1:5" x14ac:dyDescent="0.25">
      <c r="A8" s="25"/>
      <c r="B8" s="370" t="s">
        <v>182</v>
      </c>
      <c r="C8" s="25"/>
      <c r="D8" s="370" t="s">
        <v>183</v>
      </c>
    </row>
    <row r="9" spans="1:5" x14ac:dyDescent="0.25">
      <c r="A9" s="25"/>
      <c r="B9" s="370" t="s">
        <v>184</v>
      </c>
      <c r="C9" s="50"/>
      <c r="D9" s="370" t="s">
        <v>185</v>
      </c>
    </row>
    <row r="10" spans="1:5" x14ac:dyDescent="0.25">
      <c r="A10" s="256" t="s">
        <v>463</v>
      </c>
      <c r="B10" s="95">
        <f>ROUND((216+10+144)*1.2,0)</f>
        <v>444</v>
      </c>
      <c r="D10" s="33">
        <f>ROUND((8658+144+10)*1.2,0)</f>
        <v>10574</v>
      </c>
    </row>
    <row r="11" spans="1:5" x14ac:dyDescent="0.25">
      <c r="A11" s="256" t="s">
        <v>708</v>
      </c>
      <c r="B11" s="33">
        <f>ROUND(1.5*'3. rezsióradíj mérnökóradíj'!D4*2,0)</f>
        <v>12000</v>
      </c>
      <c r="C11" s="26"/>
      <c r="D11" s="33">
        <f>B11</f>
        <v>12000</v>
      </c>
    </row>
    <row r="12" spans="1:5" x14ac:dyDescent="0.25">
      <c r="A12" s="63" t="s">
        <v>700</v>
      </c>
      <c r="B12" s="451">
        <f>'4. kiszállás díja'!C10</f>
        <v>5000</v>
      </c>
      <c r="C12" s="88"/>
      <c r="D12" s="138">
        <f>B12</f>
        <v>5000</v>
      </c>
    </row>
    <row r="13" spans="1:5" x14ac:dyDescent="0.25">
      <c r="A13" s="30" t="s">
        <v>110</v>
      </c>
      <c r="B13" s="37">
        <f>SUM(B10:B12)</f>
        <v>17444</v>
      </c>
      <c r="C13" s="25"/>
      <c r="D13" s="37">
        <f>SUM(D10:D12)</f>
        <v>27574</v>
      </c>
    </row>
    <row r="14" spans="1:5" x14ac:dyDescent="0.25">
      <c r="A14" s="28" t="s">
        <v>111</v>
      </c>
      <c r="B14" s="138">
        <f>ROUND((B11+B12)*0.2,0)</f>
        <v>3400</v>
      </c>
      <c r="C14" s="28"/>
      <c r="D14" s="138">
        <f>ROUND((D11+D12)*0.2,0)</f>
        <v>3400</v>
      </c>
    </row>
    <row r="15" spans="1:5" x14ac:dyDescent="0.25">
      <c r="A15" s="30" t="s">
        <v>116</v>
      </c>
      <c r="B15" s="54">
        <f>SUM(B13:B14)</f>
        <v>20844</v>
      </c>
      <c r="C15" s="25"/>
      <c r="D15" s="54">
        <f>SUM(D13:D14)</f>
        <v>30974</v>
      </c>
    </row>
    <row r="16" spans="1:5" x14ac:dyDescent="0.25">
      <c r="A16" s="25" t="s">
        <v>106</v>
      </c>
      <c r="B16" s="26">
        <f>ROUND(B15*0.27,0)</f>
        <v>5628</v>
      </c>
      <c r="C16" s="25"/>
      <c r="D16" s="26">
        <f>ROUND(D15*0.27,0)</f>
        <v>8363</v>
      </c>
    </row>
    <row r="17" spans="1:11" ht="23.25" customHeight="1" x14ac:dyDescent="0.25">
      <c r="A17" s="31" t="s">
        <v>107</v>
      </c>
      <c r="B17" s="568">
        <f>SUM(B15:B16)</f>
        <v>26472</v>
      </c>
      <c r="C17" s="89"/>
      <c r="D17" s="568">
        <f>SUM(D15:D16)</f>
        <v>39337</v>
      </c>
    </row>
    <row r="18" spans="1:11" ht="13.9" customHeight="1" x14ac:dyDescent="0.25">
      <c r="A18" s="25"/>
      <c r="B18" s="25"/>
      <c r="C18" s="25"/>
      <c r="D18" s="25"/>
    </row>
    <row r="19" spans="1:11" ht="13.9" customHeight="1" x14ac:dyDescent="0.25">
      <c r="A19" s="25"/>
      <c r="B19" s="25"/>
      <c r="C19" s="25"/>
    </row>
    <row r="20" spans="1:11" ht="13.9" customHeight="1" x14ac:dyDescent="0.25">
      <c r="A20" s="647" t="s">
        <v>186</v>
      </c>
      <c r="B20" s="647"/>
      <c r="C20" s="647"/>
      <c r="D20" s="647"/>
    </row>
    <row r="21" spans="1:11" ht="13.9" customHeight="1" x14ac:dyDescent="0.25">
      <c r="A21" s="648"/>
      <c r="B21" s="648"/>
      <c r="C21" s="648"/>
      <c r="D21" s="648"/>
      <c r="E21" s="301"/>
      <c r="F21" s="301"/>
    </row>
    <row r="22" spans="1:11" ht="13.9" customHeight="1" x14ac:dyDescent="0.25">
      <c r="A22" s="645" t="s">
        <v>187</v>
      </c>
      <c r="B22" s="645"/>
      <c r="C22" s="645"/>
      <c r="D22" s="645"/>
    </row>
    <row r="23" spans="1:11" ht="13.9" customHeight="1" x14ac:dyDescent="0.25">
      <c r="A23" s="645" t="s">
        <v>188</v>
      </c>
      <c r="B23" s="645"/>
      <c r="C23" s="645"/>
      <c r="D23" s="645"/>
    </row>
    <row r="24" spans="1:11" ht="13.9" customHeight="1" x14ac:dyDescent="0.25">
      <c r="A24" s="25" t="s">
        <v>189</v>
      </c>
      <c r="B24" s="25"/>
      <c r="C24" s="25"/>
      <c r="D24" s="25"/>
    </row>
    <row r="25" spans="1:11" x14ac:dyDescent="0.25">
      <c r="A25" s="25" t="s">
        <v>190</v>
      </c>
      <c r="B25" s="25"/>
      <c r="C25" s="25"/>
      <c r="D25" s="25"/>
    </row>
    <row r="26" spans="1:11" ht="13.9" customHeight="1" x14ac:dyDescent="0.25">
      <c r="A26" s="25" t="s">
        <v>191</v>
      </c>
      <c r="B26" s="25"/>
      <c r="C26" s="25"/>
      <c r="D26" s="25"/>
    </row>
    <row r="28" spans="1:11" ht="15" customHeight="1" x14ac:dyDescent="0.25">
      <c r="A28" s="90" t="s">
        <v>909</v>
      </c>
      <c r="B28" s="355"/>
      <c r="C28" s="355"/>
      <c r="D28" s="355"/>
    </row>
    <row r="29" spans="1:11" x14ac:dyDescent="0.25">
      <c r="A29" s="371" t="s">
        <v>118</v>
      </c>
      <c r="G29" s="355"/>
      <c r="H29" s="355"/>
      <c r="I29" s="355"/>
      <c r="J29" s="355"/>
      <c r="K29" s="355"/>
    </row>
    <row r="30" spans="1:11" x14ac:dyDescent="0.25">
      <c r="A30" s="472"/>
    </row>
    <row r="31" spans="1:11" x14ac:dyDescent="0.25">
      <c r="B31" s="630" t="s">
        <v>192</v>
      </c>
      <c r="C31" s="25"/>
      <c r="D31" s="370" t="s">
        <v>183</v>
      </c>
    </row>
    <row r="32" spans="1:11" x14ac:dyDescent="0.25">
      <c r="A32" s="25"/>
      <c r="B32" s="646"/>
      <c r="C32" s="25"/>
      <c r="D32" s="370" t="s">
        <v>185</v>
      </c>
      <c r="E32" s="56"/>
    </row>
    <row r="33" spans="1:10" x14ac:dyDescent="0.25">
      <c r="A33" s="256" t="s">
        <v>463</v>
      </c>
      <c r="B33" s="33">
        <f>ROUND((1600+144+10)*1.2,0)</f>
        <v>2105</v>
      </c>
      <c r="C33" s="256"/>
      <c r="D33" s="33">
        <f>ROUND(144*1.2,0)</f>
        <v>173</v>
      </c>
    </row>
    <row r="34" spans="1:10" x14ac:dyDescent="0.25">
      <c r="A34" s="256" t="s">
        <v>709</v>
      </c>
      <c r="B34" s="33">
        <f>ROUND(1.5*'3. rezsióradíj mérnökóradíj'!D4*2,0)</f>
        <v>12000</v>
      </c>
      <c r="C34" s="33"/>
      <c r="D34" s="33">
        <f>B34</f>
        <v>12000</v>
      </c>
    </row>
    <row r="35" spans="1:10" x14ac:dyDescent="0.25">
      <c r="A35" s="63" t="s">
        <v>710</v>
      </c>
      <c r="B35" s="138">
        <f>'4. kiszállás díja'!C10</f>
        <v>5000</v>
      </c>
      <c r="C35" s="146"/>
      <c r="D35" s="138">
        <f>B35</f>
        <v>5000</v>
      </c>
    </row>
    <row r="36" spans="1:10" s="56" customFormat="1" ht="23.25" customHeight="1" x14ac:dyDescent="0.25">
      <c r="A36" s="30" t="s">
        <v>110</v>
      </c>
      <c r="B36" s="37">
        <f>SUM(B33:B35)</f>
        <v>19105</v>
      </c>
      <c r="C36" s="256"/>
      <c r="D36" s="37">
        <f>SUM(D33:D35)</f>
        <v>17173</v>
      </c>
      <c r="E36" s="20"/>
      <c r="F36" s="20"/>
      <c r="G36" s="20"/>
      <c r="H36" s="20"/>
      <c r="I36" s="20"/>
      <c r="J36" s="20"/>
    </row>
    <row r="37" spans="1:10" x14ac:dyDescent="0.25">
      <c r="A37" s="28" t="s">
        <v>111</v>
      </c>
      <c r="B37" s="138">
        <f>ROUND((B34+B35)*0.2,0)</f>
        <v>3400</v>
      </c>
      <c r="C37" s="63"/>
      <c r="D37" s="138">
        <f>ROUND((D34+D35)*0.2,0)</f>
        <v>3400</v>
      </c>
    </row>
    <row r="38" spans="1:10" x14ac:dyDescent="0.25">
      <c r="A38" s="30" t="s">
        <v>116</v>
      </c>
      <c r="B38" s="54">
        <f>SUM(B36:B37)</f>
        <v>22505</v>
      </c>
      <c r="C38" s="25"/>
      <c r="D38" s="54">
        <f>SUM(D36:D37)</f>
        <v>20573</v>
      </c>
    </row>
    <row r="39" spans="1:10" x14ac:dyDescent="0.25">
      <c r="A39" s="25" t="s">
        <v>106</v>
      </c>
      <c r="B39" s="26">
        <f>ROUND(B38*0.27,0)</f>
        <v>6076</v>
      </c>
      <c r="C39" s="25"/>
      <c r="D39" s="26">
        <f>ROUND(D38*0.27,0)</f>
        <v>5555</v>
      </c>
    </row>
    <row r="40" spans="1:10" x14ac:dyDescent="0.25">
      <c r="A40" s="31" t="s">
        <v>107</v>
      </c>
      <c r="B40" s="568">
        <f>SUM(B38:B39)</f>
        <v>28581</v>
      </c>
      <c r="C40" s="89"/>
      <c r="D40" s="568">
        <f>SUM(D38:D39)</f>
        <v>26128</v>
      </c>
    </row>
    <row r="41" spans="1:10" x14ac:dyDescent="0.25">
      <c r="B41" s="355"/>
      <c r="C41" s="355"/>
      <c r="D41" s="355"/>
    </row>
    <row r="44" spans="1:10" ht="30" customHeight="1" x14ac:dyDescent="0.25"/>
    <row r="48" spans="1:10" x14ac:dyDescent="0.25">
      <c r="A48" s="142"/>
      <c r="B48" s="142"/>
      <c r="C48" s="142"/>
      <c r="D48" s="142"/>
      <c r="E48" s="355"/>
    </row>
    <row r="52" spans="5:5" ht="15" customHeight="1" x14ac:dyDescent="0.25"/>
    <row r="54" spans="5:5" x14ac:dyDescent="0.25">
      <c r="E54" s="142"/>
    </row>
    <row r="64" spans="5:5" ht="23.25" customHeight="1" x14ac:dyDescent="0.25"/>
    <row r="68" spans="1:6" x14ac:dyDescent="0.25">
      <c r="F68" s="142"/>
    </row>
    <row r="72" spans="1:6" s="142" customFormat="1" x14ac:dyDescent="0.25">
      <c r="A72" s="20"/>
      <c r="B72" s="20"/>
      <c r="C72" s="20"/>
      <c r="D72" s="20"/>
      <c r="E72" s="20"/>
      <c r="F72" s="20"/>
    </row>
  </sheetData>
  <mergeCells count="10">
    <mergeCell ref="A22:D22"/>
    <mergeCell ref="A23:D23"/>
    <mergeCell ref="B31:B32"/>
    <mergeCell ref="A1:D1"/>
    <mergeCell ref="A2:D2"/>
    <mergeCell ref="A4:D4"/>
    <mergeCell ref="A20:D20"/>
    <mergeCell ref="A21:D21"/>
    <mergeCell ref="A3:D3"/>
    <mergeCell ref="A5:D5"/>
  </mergeCells>
  <printOptions horizontalCentered="1"/>
  <pageMargins left="0.7" right="0.7" top="0.75" bottom="0.75" header="0.3" footer="0.3"/>
  <pageSetup paperSize="9" orientation="portrait" r:id="rId1"/>
  <headerFooter alignWithMargins="0"/>
  <rowBreaks count="1" manualBreakCount="1">
    <brk id="5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E16" sqref="E16"/>
    </sheetView>
  </sheetViews>
  <sheetFormatPr defaultRowHeight="15" x14ac:dyDescent="0.25"/>
  <cols>
    <col min="1" max="1" width="53.28515625" customWidth="1"/>
    <col min="2" max="2" width="20.85546875" customWidth="1"/>
  </cols>
  <sheetData>
    <row r="1" spans="1:4" ht="29.25" customHeight="1" x14ac:dyDescent="0.25">
      <c r="A1" s="650" t="s">
        <v>782</v>
      </c>
      <c r="B1" s="650"/>
      <c r="C1" s="19"/>
      <c r="D1" s="492"/>
    </row>
    <row r="2" spans="1:4" ht="60.75" customHeight="1" x14ac:dyDescent="0.25">
      <c r="A2" s="630" t="s">
        <v>716</v>
      </c>
      <c r="B2" s="630"/>
      <c r="C2" s="630"/>
      <c r="D2" s="495"/>
    </row>
    <row r="3" spans="1:4" x14ac:dyDescent="0.25">
      <c r="A3" s="70" t="s">
        <v>717</v>
      </c>
    </row>
    <row r="4" spans="1:4" x14ac:dyDescent="0.25">
      <c r="A4" s="449" t="s">
        <v>118</v>
      </c>
    </row>
    <row r="6" spans="1:4" x14ac:dyDescent="0.25">
      <c r="A6" s="256" t="s">
        <v>463</v>
      </c>
      <c r="B6" s="33">
        <f>ROUND((30750*1.2),0)</f>
        <v>36900</v>
      </c>
    </row>
    <row r="7" spans="1:4" x14ac:dyDescent="0.25">
      <c r="A7" s="256" t="s">
        <v>718</v>
      </c>
      <c r="B7" s="33">
        <f>ROUND(3*'3. rezsióradíj mérnökóradíj'!D4*3,0)</f>
        <v>36000</v>
      </c>
    </row>
    <row r="8" spans="1:4" x14ac:dyDescent="0.25">
      <c r="A8" s="141" t="s">
        <v>700</v>
      </c>
      <c r="B8" s="33">
        <f>'4. kiszállás díja'!C10</f>
        <v>5000</v>
      </c>
    </row>
    <row r="9" spans="1:4" s="207" customFormat="1" x14ac:dyDescent="0.25">
      <c r="A9" s="141" t="s">
        <v>719</v>
      </c>
      <c r="B9" s="33">
        <f>ROUND(3*5700,0)</f>
        <v>17100</v>
      </c>
    </row>
    <row r="10" spans="1:4" s="207" customFormat="1" x14ac:dyDescent="0.25">
      <c r="A10" s="141" t="s">
        <v>720</v>
      </c>
      <c r="B10" s="33">
        <v>75000</v>
      </c>
    </row>
    <row r="11" spans="1:4" s="207" customFormat="1" x14ac:dyDescent="0.25">
      <c r="A11" s="141" t="s">
        <v>721</v>
      </c>
      <c r="B11" s="33">
        <v>30000</v>
      </c>
    </row>
    <row r="12" spans="1:4" x14ac:dyDescent="0.25">
      <c r="A12" s="305" t="s">
        <v>110</v>
      </c>
      <c r="B12" s="304">
        <f>SUM(B6:B11)</f>
        <v>200000</v>
      </c>
    </row>
    <row r="13" spans="1:4" x14ac:dyDescent="0.25">
      <c r="A13" s="28" t="s">
        <v>111</v>
      </c>
      <c r="B13" s="138">
        <f>ROUND((B7+B8+B9)*0.2,0)</f>
        <v>11620</v>
      </c>
    </row>
    <row r="14" spans="1:4" x14ac:dyDescent="0.25">
      <c r="A14" s="30" t="s">
        <v>116</v>
      </c>
      <c r="B14" s="33">
        <f>B12+B13</f>
        <v>211620</v>
      </c>
    </row>
    <row r="15" spans="1:4" x14ac:dyDescent="0.25">
      <c r="A15" s="25" t="s">
        <v>106</v>
      </c>
      <c r="B15" s="138">
        <f>ROUND((B14*0.27),0)</f>
        <v>57137</v>
      </c>
    </row>
    <row r="16" spans="1:4" ht="30.75" customHeight="1" x14ac:dyDescent="0.25">
      <c r="A16" s="55" t="s">
        <v>107</v>
      </c>
      <c r="B16" s="574">
        <f>B14+B15</f>
        <v>268757</v>
      </c>
    </row>
  </sheetData>
  <mergeCells count="2">
    <mergeCell ref="A2:C2"/>
    <mergeCell ref="A1: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showGridLines="0" topLeftCell="A25" zoomScaleNormal="100" zoomScaleSheetLayoutView="100" workbookViewId="0">
      <selection activeCell="I28" sqref="I28"/>
    </sheetView>
  </sheetViews>
  <sheetFormatPr defaultColWidth="9.140625" defaultRowHeight="15" x14ac:dyDescent="0.25"/>
  <cols>
    <col min="1" max="1" width="41" style="93" customWidth="1"/>
    <col min="2" max="2" width="13.42578125" style="93" customWidth="1"/>
    <col min="3" max="3" width="11.28515625" style="93" customWidth="1"/>
    <col min="4" max="4" width="11.140625" style="93" customWidth="1"/>
    <col min="5" max="5" width="11.28515625" style="93" customWidth="1"/>
    <col min="6" max="6" width="10.5703125" style="93" customWidth="1"/>
    <col min="7" max="7" width="11.28515625" style="93" customWidth="1"/>
    <col min="8" max="8" width="11.85546875" style="93" customWidth="1"/>
    <col min="9" max="9" width="11.42578125" style="93" customWidth="1"/>
    <col min="10" max="10" width="11.5703125" style="93" customWidth="1"/>
    <col min="11" max="17" width="11.28515625" style="93" customWidth="1"/>
    <col min="18" max="18" width="10" style="93" bestFit="1" customWidth="1"/>
    <col min="19" max="19" width="8" style="93" customWidth="1"/>
    <col min="20" max="20" width="7.7109375" style="93" bestFit="1" customWidth="1"/>
    <col min="21" max="22" width="10.28515625" style="93" bestFit="1" customWidth="1"/>
    <col min="23" max="16384" width="9.140625" style="93"/>
  </cols>
  <sheetData>
    <row r="1" spans="1:21" ht="25.5" customHeight="1" x14ac:dyDescent="0.25">
      <c r="A1" s="651" t="s">
        <v>193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252"/>
      <c r="M1" s="252"/>
      <c r="N1" s="252"/>
      <c r="O1" s="252"/>
      <c r="P1" s="252"/>
      <c r="Q1" s="252"/>
      <c r="R1" s="252"/>
      <c r="U1" s="252"/>
    </row>
    <row r="2" spans="1:21" x14ac:dyDescent="0.25">
      <c r="A2" s="637" t="s">
        <v>670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323"/>
      <c r="M2" s="323"/>
      <c r="N2" s="323"/>
      <c r="O2" s="323"/>
      <c r="P2" s="323"/>
      <c r="Q2" s="323"/>
      <c r="R2" s="323"/>
      <c r="S2" s="323"/>
    </row>
    <row r="3" spans="1:2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21" x14ac:dyDescent="0.25">
      <c r="A4" s="251" t="s">
        <v>194</v>
      </c>
      <c r="B4" s="250"/>
      <c r="C4" s="250"/>
      <c r="D4" s="250"/>
      <c r="E4" s="250"/>
      <c r="F4" s="250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T4" s="306"/>
    </row>
    <row r="5" spans="1:21" x14ac:dyDescent="0.25">
      <c r="A5" s="240" t="s">
        <v>113</v>
      </c>
      <c r="B5" s="250"/>
      <c r="C5" s="250"/>
      <c r="D5" s="250"/>
      <c r="E5" s="250"/>
      <c r="F5" s="250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</row>
    <row r="6" spans="1:21" x14ac:dyDescent="0.25">
      <c r="A6" s="249"/>
      <c r="B6" s="248" t="s">
        <v>624</v>
      </c>
      <c r="C6" s="248"/>
      <c r="D6" s="248"/>
      <c r="E6" s="248"/>
      <c r="F6" s="248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21" x14ac:dyDescent="0.25">
      <c r="A7" s="141" t="s">
        <v>788</v>
      </c>
      <c r="B7" s="247">
        <f>'3. rezsióradíj mérnökóradíj'!D4</f>
        <v>4000</v>
      </c>
      <c r="C7" s="248"/>
      <c r="D7" s="248"/>
      <c r="E7" s="248"/>
      <c r="F7" s="248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1" x14ac:dyDescent="0.25">
      <c r="A8" s="497" t="s">
        <v>195</v>
      </c>
      <c r="B8" s="496">
        <f>'4. kiszállás díja'!C10</f>
        <v>5000</v>
      </c>
      <c r="C8" s="387"/>
      <c r="D8" s="247"/>
      <c r="E8" s="247"/>
      <c r="F8" s="247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1" x14ac:dyDescent="0.25">
      <c r="A9" s="498" t="s">
        <v>110</v>
      </c>
      <c r="B9" s="499">
        <f>B7+B8</f>
        <v>9000</v>
      </c>
      <c r="C9" s="387"/>
      <c r="D9" s="247"/>
      <c r="E9" s="247"/>
      <c r="F9" s="247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spans="1:21" x14ac:dyDescent="0.25">
      <c r="A10" s="497" t="s">
        <v>671</v>
      </c>
      <c r="B10" s="496">
        <f>B9*0.2</f>
        <v>1800</v>
      </c>
      <c r="C10" s="387"/>
      <c r="D10" s="247"/>
      <c r="E10" s="247"/>
      <c r="F10" s="247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1:21" x14ac:dyDescent="0.25">
      <c r="A11" s="498" t="s">
        <v>86</v>
      </c>
      <c r="B11" s="499">
        <f>B9+B10</f>
        <v>10800</v>
      </c>
      <c r="C11" s="387"/>
      <c r="D11" s="247"/>
      <c r="E11" s="247"/>
      <c r="F11" s="247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spans="1:21" x14ac:dyDescent="0.25">
      <c r="A12" s="237" t="s">
        <v>106</v>
      </c>
      <c r="B12" s="247">
        <f>ROUND(B11*0.27,0)</f>
        <v>2916</v>
      </c>
      <c r="C12" s="448"/>
      <c r="D12" s="247"/>
      <c r="E12" s="247"/>
      <c r="F12" s="247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21" ht="23.25" customHeight="1" x14ac:dyDescent="0.25">
      <c r="A13" s="91" t="s">
        <v>107</v>
      </c>
      <c r="B13" s="569">
        <f>B11+B12</f>
        <v>13716</v>
      </c>
      <c r="C13" s="259"/>
      <c r="D13" s="259"/>
      <c r="E13" s="259"/>
      <c r="F13" s="259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spans="1:21" x14ac:dyDescent="0.25">
      <c r="A14" s="246"/>
      <c r="B14" s="245"/>
      <c r="C14" s="245"/>
      <c r="D14" s="245"/>
      <c r="E14" s="245"/>
      <c r="F14" s="245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</row>
    <row r="15" spans="1:21" x14ac:dyDescent="0.25">
      <c r="A15" s="241" t="s">
        <v>738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</row>
    <row r="16" spans="1:21" x14ac:dyDescent="0.25">
      <c r="A16" s="240" t="s">
        <v>113</v>
      </c>
      <c r="B16" s="652" t="s">
        <v>608</v>
      </c>
      <c r="C16" s="652"/>
      <c r="D16" s="652"/>
      <c r="E16" s="652"/>
      <c r="F16" s="652"/>
      <c r="G16" s="652"/>
      <c r="H16" s="652"/>
      <c r="I16" s="652"/>
      <c r="J16" s="652"/>
      <c r="K16" s="652"/>
      <c r="L16" s="92"/>
    </row>
    <row r="17" spans="1:19" x14ac:dyDescent="0.25">
      <c r="A17" s="92"/>
      <c r="B17" s="324" t="s">
        <v>572</v>
      </c>
      <c r="C17" s="324" t="s">
        <v>571</v>
      </c>
      <c r="D17" s="324" t="s">
        <v>586</v>
      </c>
      <c r="E17" s="324" t="s">
        <v>598</v>
      </c>
      <c r="F17" s="324" t="s">
        <v>584</v>
      </c>
      <c r="G17" s="324" t="s">
        <v>583</v>
      </c>
      <c r="H17" s="324" t="s">
        <v>582</v>
      </c>
      <c r="I17" s="324" t="s">
        <v>581</v>
      </c>
      <c r="J17" s="324" t="s">
        <v>580</v>
      </c>
      <c r="K17" s="324" t="s">
        <v>593</v>
      </c>
    </row>
    <row r="18" spans="1:19" x14ac:dyDescent="0.25">
      <c r="A18" s="92"/>
      <c r="B18" s="324"/>
      <c r="C18" s="324"/>
      <c r="D18" s="324"/>
      <c r="E18" s="324"/>
      <c r="F18" s="324"/>
      <c r="G18" s="653"/>
      <c r="H18" s="653"/>
      <c r="I18" s="653"/>
      <c r="J18" s="653"/>
      <c r="K18" s="653"/>
    </row>
    <row r="19" spans="1:19" s="327" customFormat="1" ht="12.75" x14ac:dyDescent="0.25">
      <c r="A19" s="325" t="s">
        <v>713</v>
      </c>
      <c r="B19" s="329">
        <f>ROUND(1.5*'3. rezsióradíj mérnökóradíj'!D4*2,0)</f>
        <v>12000</v>
      </c>
      <c r="C19" s="329">
        <f>B19</f>
        <v>12000</v>
      </c>
      <c r="D19" s="329">
        <f>B19</f>
        <v>12000</v>
      </c>
      <c r="E19" s="329">
        <f>B19</f>
        <v>12000</v>
      </c>
      <c r="F19" s="329">
        <f>B19</f>
        <v>12000</v>
      </c>
      <c r="G19" s="329">
        <f>B19</f>
        <v>12000</v>
      </c>
      <c r="H19" s="329">
        <f>B19</f>
        <v>12000</v>
      </c>
      <c r="I19" s="329">
        <f>B19</f>
        <v>12000</v>
      </c>
      <c r="J19" s="329">
        <f>B19</f>
        <v>12000</v>
      </c>
      <c r="K19" s="329">
        <f>B19</f>
        <v>12000</v>
      </c>
      <c r="L19" s="330"/>
    </row>
    <row r="20" spans="1:19" s="327" customFormat="1" ht="12.75" x14ac:dyDescent="0.25">
      <c r="A20" s="325" t="s">
        <v>630</v>
      </c>
      <c r="B20" s="329">
        <f t="shared" ref="B20:G20" si="0">$D$72</f>
        <v>18500</v>
      </c>
      <c r="C20" s="328">
        <f t="shared" si="0"/>
        <v>18500</v>
      </c>
      <c r="D20" s="328">
        <f t="shared" si="0"/>
        <v>18500</v>
      </c>
      <c r="E20" s="328">
        <f t="shared" si="0"/>
        <v>18500</v>
      </c>
      <c r="F20" s="328">
        <f t="shared" si="0"/>
        <v>18500</v>
      </c>
      <c r="G20" s="328">
        <f t="shared" si="0"/>
        <v>18500</v>
      </c>
      <c r="H20" s="328">
        <f>$D$73</f>
        <v>62000</v>
      </c>
      <c r="I20" s="328">
        <f>$D$73</f>
        <v>62000</v>
      </c>
      <c r="J20" s="328">
        <f>$D$73</f>
        <v>62000</v>
      </c>
      <c r="K20" s="329">
        <f>$D$73</f>
        <v>62000</v>
      </c>
    </row>
    <row r="21" spans="1:19" s="327" customFormat="1" ht="12.75" x14ac:dyDescent="0.25">
      <c r="A21" s="332" t="s">
        <v>463</v>
      </c>
      <c r="B21" s="328">
        <f>ROUND(144*1.2,0)</f>
        <v>173</v>
      </c>
      <c r="C21" s="328">
        <f t="shared" ref="C21:F21" si="1">ROUND(144*1.2,0)</f>
        <v>173</v>
      </c>
      <c r="D21" s="328">
        <f t="shared" si="1"/>
        <v>173</v>
      </c>
      <c r="E21" s="328">
        <f t="shared" si="1"/>
        <v>173</v>
      </c>
      <c r="F21" s="328">
        <f t="shared" si="1"/>
        <v>173</v>
      </c>
      <c r="G21" s="328">
        <v>346</v>
      </c>
      <c r="H21" s="328">
        <v>346</v>
      </c>
      <c r="I21" s="328">
        <v>346</v>
      </c>
      <c r="J21" s="328">
        <v>346</v>
      </c>
      <c r="K21" s="329">
        <v>346</v>
      </c>
    </row>
    <row r="22" spans="1:19" s="327" customFormat="1" ht="12.75" x14ac:dyDescent="0.25">
      <c r="A22" s="333" t="s">
        <v>746</v>
      </c>
      <c r="B22" s="328">
        <f>I50*1.2</f>
        <v>8655.6</v>
      </c>
      <c r="C22" s="328">
        <f>I51*1.2</f>
        <v>8658</v>
      </c>
      <c r="D22" s="328">
        <f>I52*1.2</f>
        <v>14986.8</v>
      </c>
      <c r="E22" s="328">
        <f>I53*1.2</f>
        <v>18320.399999999998</v>
      </c>
      <c r="F22" s="328">
        <f>I54*1.2</f>
        <v>32731.199999999997</v>
      </c>
      <c r="G22" s="328">
        <f>I$70*1.2</f>
        <v>130478.39999999999</v>
      </c>
      <c r="H22" s="328">
        <f>ROUND(I$71*1.2,0)</f>
        <v>139482</v>
      </c>
      <c r="I22" s="328">
        <f>ROUND(I$72*1.2,0)</f>
        <v>151733</v>
      </c>
      <c r="J22" s="328">
        <f>ROUND(I$73*1.2,0)</f>
        <v>176530</v>
      </c>
      <c r="K22" s="329">
        <f>ROUND(I$74*1.2,0)</f>
        <v>353354</v>
      </c>
      <c r="L22" s="330"/>
      <c r="P22" s="334"/>
    </row>
    <row r="23" spans="1:19" s="327" customFormat="1" ht="12.75" x14ac:dyDescent="0.25">
      <c r="A23" s="460" t="s">
        <v>698</v>
      </c>
      <c r="B23" s="335">
        <f>'4. kiszállás díja'!C10</f>
        <v>5000</v>
      </c>
      <c r="C23" s="335">
        <f>B23</f>
        <v>5000</v>
      </c>
      <c r="D23" s="335">
        <f>B23</f>
        <v>5000</v>
      </c>
      <c r="E23" s="335">
        <f>B23</f>
        <v>5000</v>
      </c>
      <c r="F23" s="335">
        <f>B23</f>
        <v>5000</v>
      </c>
      <c r="G23" s="335">
        <f>B23</f>
        <v>5000</v>
      </c>
      <c r="H23" s="335">
        <f>B23</f>
        <v>5000</v>
      </c>
      <c r="I23" s="335">
        <f>B23</f>
        <v>5000</v>
      </c>
      <c r="J23" s="335">
        <f>B23</f>
        <v>5000</v>
      </c>
      <c r="K23" s="335">
        <f>B23</f>
        <v>5000</v>
      </c>
      <c r="L23" s="336"/>
      <c r="M23" s="330"/>
    </row>
    <row r="24" spans="1:19" s="327" customFormat="1" ht="12.75" x14ac:dyDescent="0.25">
      <c r="A24" s="334" t="s">
        <v>86</v>
      </c>
      <c r="B24" s="328">
        <f t="shared" ref="B24:K24" si="2">SUM(B19:B23)</f>
        <v>44328.6</v>
      </c>
      <c r="C24" s="337">
        <f t="shared" si="2"/>
        <v>44331</v>
      </c>
      <c r="D24" s="337">
        <f t="shared" si="2"/>
        <v>50659.8</v>
      </c>
      <c r="E24" s="337">
        <f t="shared" si="2"/>
        <v>53993.399999999994</v>
      </c>
      <c r="F24" s="337">
        <f t="shared" si="2"/>
        <v>68404.2</v>
      </c>
      <c r="G24" s="337">
        <f t="shared" si="2"/>
        <v>166324.4</v>
      </c>
      <c r="H24" s="337">
        <f t="shared" si="2"/>
        <v>218828</v>
      </c>
      <c r="I24" s="337">
        <f t="shared" si="2"/>
        <v>231079</v>
      </c>
      <c r="J24" s="337">
        <f t="shared" si="2"/>
        <v>255876</v>
      </c>
      <c r="K24" s="328">
        <f t="shared" si="2"/>
        <v>432700</v>
      </c>
      <c r="M24" s="330"/>
    </row>
    <row r="25" spans="1:19" s="327" customFormat="1" ht="12.75" x14ac:dyDescent="0.25">
      <c r="A25" s="338" t="s">
        <v>106</v>
      </c>
      <c r="B25" s="335">
        <f>ROUND(B24*0.27,0)</f>
        <v>11969</v>
      </c>
      <c r="C25" s="335">
        <f>ROUND(C24*0.27,0)</f>
        <v>11969</v>
      </c>
      <c r="D25" s="335">
        <f>ROUND(D24*0.27,0)</f>
        <v>13678</v>
      </c>
      <c r="E25" s="335">
        <f t="shared" ref="E25:K25" si="3">ROUND(E24*0.27,0)</f>
        <v>14578</v>
      </c>
      <c r="F25" s="335">
        <f>ROUND(F24*0.27,0)</f>
        <v>18469</v>
      </c>
      <c r="G25" s="335">
        <f>ROUND(G24*0.27,0)</f>
        <v>44908</v>
      </c>
      <c r="H25" s="335">
        <f>ROUND(H24*0.27,0)</f>
        <v>59084</v>
      </c>
      <c r="I25" s="335">
        <f t="shared" si="3"/>
        <v>62391</v>
      </c>
      <c r="J25" s="335">
        <f>ROUND(J24*0.27,0)</f>
        <v>69087</v>
      </c>
      <c r="K25" s="335">
        <f t="shared" si="3"/>
        <v>116829</v>
      </c>
      <c r="M25" s="339"/>
    </row>
    <row r="26" spans="1:19" s="327" customFormat="1" ht="32.25" customHeight="1" x14ac:dyDescent="0.25">
      <c r="A26" s="340" t="s">
        <v>107</v>
      </c>
      <c r="B26" s="572">
        <f>SUM(B24,B25)</f>
        <v>56297.599999999999</v>
      </c>
      <c r="C26" s="573">
        <f t="shared" ref="C26:K26" si="4">SUM(C24,C25)</f>
        <v>56300</v>
      </c>
      <c r="D26" s="573">
        <f t="shared" si="4"/>
        <v>64337.8</v>
      </c>
      <c r="E26" s="573">
        <f t="shared" si="4"/>
        <v>68571.399999999994</v>
      </c>
      <c r="F26" s="573">
        <f t="shared" si="4"/>
        <v>86873.2</v>
      </c>
      <c r="G26" s="335">
        <f t="shared" si="4"/>
        <v>211232.4</v>
      </c>
      <c r="H26" s="335">
        <f t="shared" si="4"/>
        <v>277912</v>
      </c>
      <c r="I26" s="335">
        <f t="shared" si="4"/>
        <v>293470</v>
      </c>
      <c r="J26" s="335">
        <f t="shared" si="4"/>
        <v>324963</v>
      </c>
      <c r="K26" s="335">
        <f t="shared" si="4"/>
        <v>549529</v>
      </c>
    </row>
    <row r="27" spans="1:19" x14ac:dyDescent="0.25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</row>
    <row r="28" spans="1:19" x14ac:dyDescent="0.25">
      <c r="A28" s="349"/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242"/>
    </row>
    <row r="29" spans="1:19" x14ac:dyDescent="0.25">
      <c r="A29" s="241" t="s">
        <v>738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30" spans="1:19" x14ac:dyDescent="0.25">
      <c r="A30" s="240" t="s">
        <v>113</v>
      </c>
      <c r="B30" s="652" t="s">
        <v>610</v>
      </c>
      <c r="C30" s="652"/>
      <c r="D30" s="652"/>
      <c r="E30" s="652"/>
      <c r="F30" s="652"/>
      <c r="G30" s="372"/>
      <c r="H30" s="372"/>
      <c r="I30" s="372"/>
      <c r="J30" s="372"/>
      <c r="K30" s="372"/>
      <c r="L30" s="657"/>
      <c r="M30" s="657"/>
      <c r="N30" s="657"/>
      <c r="O30" s="657"/>
      <c r="P30" s="657"/>
      <c r="Q30" s="92"/>
    </row>
    <row r="31" spans="1:19" x14ac:dyDescent="0.25">
      <c r="A31" s="92"/>
      <c r="B31" s="324" t="s">
        <v>597</v>
      </c>
      <c r="C31" s="324" t="s">
        <v>595</v>
      </c>
      <c r="D31" s="324" t="s">
        <v>594</v>
      </c>
      <c r="E31" s="324" t="s">
        <v>592</v>
      </c>
      <c r="F31" s="324" t="s">
        <v>591</v>
      </c>
    </row>
    <row r="32" spans="1:19" s="327" customFormat="1" ht="12.75" x14ac:dyDescent="0.25">
      <c r="A32" s="325"/>
      <c r="B32" s="326"/>
      <c r="C32" s="326"/>
      <c r="D32" s="326"/>
      <c r="E32" s="326"/>
      <c r="F32" s="326"/>
    </row>
    <row r="33" spans="1:19" s="327" customFormat="1" ht="12.75" x14ac:dyDescent="0.25">
      <c r="A33" s="325" t="s">
        <v>713</v>
      </c>
      <c r="B33" s="329">
        <f>ROUND(1.5*'3. rezsióradíj mérnökóradíj'!D4*2,0)</f>
        <v>12000</v>
      </c>
      <c r="C33" s="329">
        <f>B33</f>
        <v>12000</v>
      </c>
      <c r="D33" s="329">
        <f>B33</f>
        <v>12000</v>
      </c>
      <c r="E33" s="329">
        <f>B33</f>
        <v>12000</v>
      </c>
      <c r="F33" s="329">
        <f>B33</f>
        <v>12000</v>
      </c>
      <c r="G33" s="330"/>
    </row>
    <row r="34" spans="1:19" s="327" customFormat="1" ht="12.75" x14ac:dyDescent="0.25">
      <c r="A34" s="325" t="s">
        <v>714</v>
      </c>
      <c r="B34" s="329">
        <f>ROUND(1*'3. rezsióradíj mérnökóradíj'!D4*1,0)</f>
        <v>4000</v>
      </c>
      <c r="C34" s="329">
        <f>B34</f>
        <v>4000</v>
      </c>
      <c r="D34" s="329">
        <f>B34</f>
        <v>4000</v>
      </c>
      <c r="E34" s="329">
        <f>B34</f>
        <v>4000</v>
      </c>
      <c r="F34" s="329">
        <f>B34</f>
        <v>4000</v>
      </c>
      <c r="G34" s="330"/>
      <c r="I34" s="330"/>
    </row>
    <row r="35" spans="1:19" s="327" customFormat="1" ht="12.75" x14ac:dyDescent="0.25">
      <c r="A35" s="325" t="s">
        <v>630</v>
      </c>
      <c r="B35" s="331">
        <f>$D$74</f>
        <v>28500</v>
      </c>
      <c r="C35" s="331">
        <f>$D$74</f>
        <v>28500</v>
      </c>
      <c r="D35" s="331">
        <f>$D$74</f>
        <v>28500</v>
      </c>
      <c r="E35" s="331">
        <f>$D$74</f>
        <v>28500</v>
      </c>
      <c r="F35" s="329">
        <f>$D$74</f>
        <v>28500</v>
      </c>
    </row>
    <row r="36" spans="1:19" s="327" customFormat="1" ht="12.75" x14ac:dyDescent="0.25">
      <c r="A36" s="332" t="s">
        <v>463</v>
      </c>
      <c r="B36" s="329">
        <v>346</v>
      </c>
      <c r="C36" s="329">
        <v>346</v>
      </c>
      <c r="D36" s="329">
        <v>346</v>
      </c>
      <c r="E36" s="329">
        <v>346</v>
      </c>
      <c r="F36" s="329">
        <v>346</v>
      </c>
    </row>
    <row r="37" spans="1:19" s="327" customFormat="1" ht="12.75" x14ac:dyDescent="0.2">
      <c r="A37" s="333" t="s">
        <v>634</v>
      </c>
      <c r="B37" s="329">
        <f>ROUND(K55*1.2,0)</f>
        <v>276000</v>
      </c>
      <c r="C37" s="329">
        <f>ROUND(K57*1.2,0)</f>
        <v>282000</v>
      </c>
      <c r="D37" s="329">
        <f>ROUND(K58*1.2,0)</f>
        <v>318000</v>
      </c>
      <c r="E37" s="329">
        <f>ROUND(K59*1.2,0)</f>
        <v>600000</v>
      </c>
      <c r="F37" s="342" t="s">
        <v>590</v>
      </c>
      <c r="G37" s="330"/>
      <c r="K37" s="334"/>
    </row>
    <row r="38" spans="1:19" s="327" customFormat="1" ht="12.75" x14ac:dyDescent="0.25">
      <c r="A38" s="460" t="s">
        <v>698</v>
      </c>
      <c r="B38" s="335">
        <f>'4. kiszállás díja'!C10</f>
        <v>5000</v>
      </c>
      <c r="C38" s="335">
        <f>B38</f>
        <v>5000</v>
      </c>
      <c r="D38" s="335">
        <f>B38</f>
        <v>5000</v>
      </c>
      <c r="E38" s="335">
        <f>B38</f>
        <v>5000</v>
      </c>
      <c r="F38" s="335">
        <f>B38</f>
        <v>5000</v>
      </c>
      <c r="G38" s="336"/>
      <c r="H38" s="330"/>
    </row>
    <row r="39" spans="1:19" s="327" customFormat="1" ht="13.5" x14ac:dyDescent="0.25">
      <c r="A39" s="334" t="s">
        <v>86</v>
      </c>
      <c r="B39" s="329">
        <f t="shared" ref="B39:E39" si="5">SUM(B33:B38)</f>
        <v>325846</v>
      </c>
      <c r="C39" s="337">
        <f t="shared" si="5"/>
        <v>331846</v>
      </c>
      <c r="D39" s="337">
        <f t="shared" si="5"/>
        <v>367846</v>
      </c>
      <c r="E39" s="337">
        <f t="shared" si="5"/>
        <v>649846</v>
      </c>
      <c r="F39" s="343"/>
      <c r="H39" s="330"/>
    </row>
    <row r="40" spans="1:19" s="327" customFormat="1" ht="12.75" x14ac:dyDescent="0.25">
      <c r="A40" s="338" t="s">
        <v>106</v>
      </c>
      <c r="B40" s="344">
        <f>ROUND(B39*0.27,0)</f>
        <v>87978</v>
      </c>
      <c r="C40" s="335">
        <f>ROUND(C39*0.27,0)</f>
        <v>89598</v>
      </c>
      <c r="D40" s="335">
        <f t="shared" ref="D40:E40" si="6">ROUND(D39*0.27,0)</f>
        <v>99318</v>
      </c>
      <c r="E40" s="335">
        <f t="shared" si="6"/>
        <v>175458</v>
      </c>
      <c r="F40" s="335"/>
      <c r="H40" s="339"/>
    </row>
    <row r="41" spans="1:19" s="327" customFormat="1" ht="32.25" customHeight="1" x14ac:dyDescent="0.25">
      <c r="A41" s="340" t="s">
        <v>107</v>
      </c>
      <c r="B41" s="335">
        <f t="shared" ref="B41:E41" si="7">SUM(B39,B40)</f>
        <v>413824</v>
      </c>
      <c r="C41" s="335">
        <f t="shared" si="7"/>
        <v>421444</v>
      </c>
      <c r="D41" s="335">
        <f t="shared" si="7"/>
        <v>467164</v>
      </c>
      <c r="E41" s="335">
        <f t="shared" si="7"/>
        <v>825304</v>
      </c>
      <c r="F41" s="335" t="s">
        <v>590</v>
      </c>
    </row>
    <row r="42" spans="1:19" x14ac:dyDescent="0.25">
      <c r="A42" s="349"/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242"/>
    </row>
    <row r="43" spans="1:19" x14ac:dyDescent="0.25">
      <c r="A43" s="92"/>
      <c r="B43" s="92"/>
      <c r="C43" s="92"/>
      <c r="D43" s="92"/>
      <c r="E43" s="92"/>
      <c r="F43" s="92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242"/>
    </row>
    <row r="44" spans="1:19" x14ac:dyDescent="0.25">
      <c r="A44" s="200"/>
      <c r="B44" s="92"/>
      <c r="C44" s="92"/>
      <c r="D44" s="92"/>
      <c r="E44" s="92"/>
      <c r="F44" s="92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428"/>
    </row>
    <row r="45" spans="1:19" x14ac:dyDescent="0.25">
      <c r="A45" s="241" t="s">
        <v>739</v>
      </c>
      <c r="B45" s="92"/>
      <c r="C45" s="92"/>
      <c r="D45" s="92"/>
      <c r="E45" s="92"/>
      <c r="F45" s="92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428"/>
    </row>
    <row r="46" spans="1:19" x14ac:dyDescent="0.25">
      <c r="A46" s="240" t="s">
        <v>113</v>
      </c>
      <c r="B46" s="391" t="s">
        <v>609</v>
      </c>
      <c r="C46" s="661" t="s">
        <v>610</v>
      </c>
      <c r="D46" s="661"/>
      <c r="E46" s="92"/>
      <c r="F46" s="92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428"/>
    </row>
    <row r="47" spans="1:19" x14ac:dyDescent="0.25">
      <c r="A47" s="240"/>
      <c r="B47" s="92"/>
      <c r="C47" s="92"/>
      <c r="D47" s="92"/>
      <c r="E47" s="92"/>
      <c r="F47" s="92"/>
      <c r="G47" s="349"/>
      <c r="H47" s="349"/>
      <c r="I47" s="349"/>
      <c r="J47" s="349"/>
      <c r="K47" s="349"/>
      <c r="L47" s="349"/>
      <c r="M47" s="349"/>
      <c r="N47" s="349"/>
      <c r="O47" s="428"/>
    </row>
    <row r="48" spans="1:19" x14ac:dyDescent="0.25">
      <c r="A48" s="92" t="s">
        <v>715</v>
      </c>
      <c r="B48" s="374">
        <f>B19</f>
        <v>12000</v>
      </c>
      <c r="C48" s="662">
        <f>D19</f>
        <v>12000</v>
      </c>
      <c r="D48" s="662"/>
      <c r="E48" s="374"/>
      <c r="F48" s="374"/>
      <c r="G48" s="92"/>
      <c r="H48" s="658" t="s">
        <v>625</v>
      </c>
      <c r="I48" s="659"/>
      <c r="J48" s="659"/>
      <c r="K48" s="660"/>
      <c r="L48" s="92"/>
      <c r="M48" s="92"/>
      <c r="N48" s="92"/>
      <c r="O48" s="92"/>
    </row>
    <row r="49" spans="1:15" x14ac:dyDescent="0.25">
      <c r="A49" s="200" t="s">
        <v>196</v>
      </c>
      <c r="B49" s="374">
        <v>8000</v>
      </c>
      <c r="C49" s="654">
        <v>25000</v>
      </c>
      <c r="D49" s="654"/>
      <c r="E49" s="372"/>
      <c r="F49" s="372"/>
      <c r="G49" s="92"/>
      <c r="H49" s="655" t="s">
        <v>534</v>
      </c>
      <c r="I49" s="656"/>
      <c r="J49" s="655" t="s">
        <v>627</v>
      </c>
      <c r="K49" s="656"/>
      <c r="L49" s="92"/>
      <c r="M49" s="92"/>
      <c r="N49" s="92"/>
      <c r="O49" s="92"/>
    </row>
    <row r="50" spans="1:15" x14ac:dyDescent="0.25">
      <c r="A50" s="325" t="s">
        <v>698</v>
      </c>
      <c r="B50" s="308">
        <f>'4. kiszállás díja'!C10</f>
        <v>5000</v>
      </c>
      <c r="C50" s="663">
        <f>B50</f>
        <v>5000</v>
      </c>
      <c r="D50" s="663"/>
      <c r="E50" s="260"/>
      <c r="F50" s="260"/>
      <c r="G50" s="92"/>
      <c r="H50" s="243" t="s">
        <v>572</v>
      </c>
      <c r="I50" s="384">
        <f>ROUND(5864*1.23,0)</f>
        <v>7213</v>
      </c>
      <c r="J50" s="655" t="s">
        <v>535</v>
      </c>
      <c r="K50" s="656"/>
      <c r="L50" s="92"/>
      <c r="M50" s="92"/>
      <c r="N50" s="92"/>
      <c r="O50" s="92"/>
    </row>
    <row r="51" spans="1:15" x14ac:dyDescent="0.25">
      <c r="A51" s="238" t="s">
        <v>197</v>
      </c>
      <c r="B51" s="310">
        <f>SUM(B48:B50)</f>
        <v>25000</v>
      </c>
      <c r="C51" s="310"/>
      <c r="D51" s="310">
        <f>SUM(C48:C50)</f>
        <v>42000</v>
      </c>
      <c r="E51" s="236"/>
      <c r="F51" s="236"/>
      <c r="G51" s="92"/>
      <c r="H51" s="243" t="s">
        <v>571</v>
      </c>
      <c r="I51" s="384">
        <f>ROUND(5866*1.23,0)</f>
        <v>7215</v>
      </c>
      <c r="J51" s="655" t="s">
        <v>535</v>
      </c>
      <c r="K51" s="656"/>
      <c r="L51" s="92"/>
      <c r="M51" s="92"/>
      <c r="N51" s="92"/>
      <c r="O51" s="92"/>
    </row>
    <row r="52" spans="1:15" x14ac:dyDescent="0.25">
      <c r="A52" s="237" t="s">
        <v>106</v>
      </c>
      <c r="B52" s="308">
        <f>ROUND(B51*0.26995,0)</f>
        <v>6749</v>
      </c>
      <c r="C52" s="308"/>
      <c r="D52" s="308">
        <f>ROUND(D51*0.27,0)</f>
        <v>11340</v>
      </c>
      <c r="E52" s="372"/>
      <c r="F52" s="372"/>
      <c r="G52" s="92"/>
      <c r="H52" s="243" t="s">
        <v>586</v>
      </c>
      <c r="I52" s="384">
        <f>ROUND(10154*1.23,0)</f>
        <v>12489</v>
      </c>
      <c r="J52" s="655" t="s">
        <v>535</v>
      </c>
      <c r="K52" s="656"/>
      <c r="L52" s="92"/>
      <c r="M52" s="92"/>
      <c r="N52" s="92"/>
      <c r="O52" s="92"/>
    </row>
    <row r="53" spans="1:15" x14ac:dyDescent="0.25">
      <c r="A53" s="65" t="s">
        <v>107</v>
      </c>
      <c r="B53" s="445">
        <f>SUM(B51,B52)</f>
        <v>31749</v>
      </c>
      <c r="C53" s="445"/>
      <c r="D53" s="445">
        <f>SUM(D51,D52)</f>
        <v>53340</v>
      </c>
      <c r="E53" s="261"/>
      <c r="F53" s="261"/>
      <c r="G53" s="92"/>
      <c r="H53" s="243" t="s">
        <v>598</v>
      </c>
      <c r="I53" s="384">
        <f>ROUND(12412*1.23,0)</f>
        <v>15267</v>
      </c>
      <c r="J53" s="655" t="s">
        <v>535</v>
      </c>
      <c r="K53" s="656"/>
      <c r="L53" s="92"/>
      <c r="M53" s="92"/>
      <c r="N53" s="92"/>
    </row>
    <row r="54" spans="1:15" x14ac:dyDescent="0.25">
      <c r="A54" s="200"/>
      <c r="B54" s="200"/>
      <c r="C54" s="200"/>
      <c r="D54" s="200"/>
      <c r="E54" s="200"/>
      <c r="F54" s="200"/>
      <c r="G54" s="239"/>
      <c r="H54" s="243" t="s">
        <v>584</v>
      </c>
      <c r="I54" s="384">
        <f>ROUND(22176*1.23,0)</f>
        <v>27276</v>
      </c>
      <c r="J54" s="655" t="s">
        <v>535</v>
      </c>
      <c r="K54" s="656"/>
      <c r="L54" s="239"/>
      <c r="M54" s="239"/>
      <c r="N54" s="239"/>
    </row>
    <row r="55" spans="1:15" x14ac:dyDescent="0.25">
      <c r="A55" s="200"/>
      <c r="B55" s="200"/>
      <c r="C55" s="309"/>
      <c r="D55" s="309"/>
      <c r="E55" s="309"/>
      <c r="F55" s="309"/>
      <c r="G55" s="309"/>
      <c r="H55" s="243" t="s">
        <v>583</v>
      </c>
      <c r="I55" s="384">
        <f>ROUND(43055*1.23,0)</f>
        <v>52958</v>
      </c>
      <c r="J55" s="243" t="s">
        <v>597</v>
      </c>
      <c r="K55" s="384">
        <v>230000</v>
      </c>
      <c r="L55" s="309"/>
      <c r="M55" s="309"/>
      <c r="N55" s="309"/>
    </row>
    <row r="56" spans="1:15" x14ac:dyDescent="0.25">
      <c r="A56" s="200"/>
      <c r="B56" s="200"/>
      <c r="C56" s="236"/>
      <c r="D56" s="236"/>
      <c r="E56" s="236"/>
      <c r="F56" s="236"/>
      <c r="G56" s="236"/>
      <c r="H56" s="243" t="s">
        <v>582</v>
      </c>
      <c r="I56" s="384">
        <f>ROUND(50990*1.23,0)</f>
        <v>62718</v>
      </c>
      <c r="J56" s="243" t="s">
        <v>596</v>
      </c>
      <c r="K56" s="244" t="s">
        <v>535</v>
      </c>
      <c r="L56" s="236"/>
      <c r="M56" s="236"/>
      <c r="N56" s="236"/>
    </row>
    <row r="57" spans="1:15" x14ac:dyDescent="0.25">
      <c r="A57" s="200"/>
      <c r="B57" s="200"/>
      <c r="C57" s="236"/>
      <c r="D57" s="236"/>
      <c r="E57" s="236"/>
      <c r="F57" s="236"/>
      <c r="G57" s="236"/>
      <c r="H57" s="243" t="s">
        <v>581</v>
      </c>
      <c r="I57" s="384">
        <f>ROUND(55200*1.23,0)</f>
        <v>67896</v>
      </c>
      <c r="J57" s="243" t="s">
        <v>595</v>
      </c>
      <c r="K57" s="384">
        <v>235000</v>
      </c>
      <c r="L57" s="236"/>
      <c r="M57" s="236"/>
      <c r="N57" s="236"/>
    </row>
    <row r="58" spans="1:15" ht="32.25" customHeight="1" x14ac:dyDescent="0.25">
      <c r="H58" s="243" t="s">
        <v>580</v>
      </c>
      <c r="I58" s="384">
        <f>ROUND(61300*1.23,0)</f>
        <v>75399</v>
      </c>
      <c r="J58" s="243" t="s">
        <v>594</v>
      </c>
      <c r="K58" s="384">
        <v>265000</v>
      </c>
    </row>
    <row r="59" spans="1:15" x14ac:dyDescent="0.25">
      <c r="C59" s="200"/>
      <c r="D59" s="200"/>
      <c r="E59" s="200"/>
      <c r="F59" s="200"/>
      <c r="G59" s="200"/>
      <c r="H59" s="243" t="s">
        <v>593</v>
      </c>
      <c r="I59" s="384">
        <f>ROUND(235000*1.23,0)</f>
        <v>289050</v>
      </c>
      <c r="J59" s="243" t="s">
        <v>592</v>
      </c>
      <c r="K59" s="384">
        <v>500000</v>
      </c>
      <c r="L59" s="200"/>
      <c r="M59" s="200"/>
      <c r="N59" s="200"/>
      <c r="O59" s="200"/>
    </row>
    <row r="60" spans="1:15" x14ac:dyDescent="0.25">
      <c r="A60" s="25"/>
      <c r="G60" s="200"/>
      <c r="H60" s="243"/>
      <c r="I60" s="384"/>
      <c r="J60" s="243"/>
      <c r="K60" s="384"/>
      <c r="L60" s="200"/>
      <c r="M60" s="200"/>
      <c r="N60" s="200"/>
      <c r="O60" s="200"/>
    </row>
    <row r="61" spans="1:15" x14ac:dyDescent="0.25">
      <c r="A61" s="664" t="s">
        <v>740</v>
      </c>
      <c r="B61" s="664"/>
      <c r="C61" s="373"/>
      <c r="D61" s="373"/>
      <c r="E61" s="373"/>
      <c r="F61" s="373"/>
      <c r="G61" s="200"/>
      <c r="H61" s="243"/>
      <c r="I61" s="384"/>
      <c r="J61" s="243"/>
      <c r="K61" s="384"/>
      <c r="L61" s="200"/>
      <c r="M61" s="200"/>
      <c r="N61" s="200"/>
      <c r="O61" s="200"/>
    </row>
    <row r="62" spans="1:15" x14ac:dyDescent="0.25">
      <c r="A62" s="373" t="s">
        <v>198</v>
      </c>
      <c r="B62" s="373"/>
      <c r="C62" s="373"/>
      <c r="D62" s="373"/>
      <c r="E62" s="373"/>
      <c r="F62" s="373"/>
      <c r="G62" s="200"/>
      <c r="H62" s="243"/>
      <c r="I62" s="384"/>
      <c r="J62" s="243"/>
      <c r="K62" s="384"/>
      <c r="L62" s="200"/>
      <c r="M62" s="200"/>
      <c r="N62" s="200"/>
      <c r="O62" s="200"/>
    </row>
    <row r="63" spans="1:15" x14ac:dyDescent="0.25">
      <c r="A63" s="235"/>
      <c r="B63" s="235"/>
      <c r="C63" s="235"/>
      <c r="D63" s="235"/>
      <c r="E63" s="235"/>
      <c r="F63" s="235"/>
      <c r="H63" s="243"/>
      <c r="I63" s="385" t="s">
        <v>655</v>
      </c>
      <c r="J63" s="243" t="s">
        <v>591</v>
      </c>
      <c r="K63" s="311" t="s">
        <v>590</v>
      </c>
    </row>
    <row r="64" spans="1:15" x14ac:dyDescent="0.25">
      <c r="A64" s="235"/>
      <c r="B64" s="235"/>
      <c r="C64" s="235"/>
      <c r="D64" s="235"/>
      <c r="E64" s="235"/>
      <c r="F64" s="235"/>
    </row>
    <row r="65" spans="1:19" x14ac:dyDescent="0.25">
      <c r="A65" s="350" t="s">
        <v>741</v>
      </c>
      <c r="B65" s="350"/>
      <c r="C65" s="350"/>
      <c r="D65" s="350"/>
      <c r="E65" s="350"/>
      <c r="F65" s="350"/>
    </row>
    <row r="66" spans="1:19" x14ac:dyDescent="0.25">
      <c r="A66" s="100"/>
      <c r="B66" s="100"/>
      <c r="C66" s="100"/>
      <c r="D66" s="100"/>
      <c r="E66" s="100"/>
      <c r="F66" s="100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</row>
    <row r="67" spans="1:19" x14ac:dyDescent="0.25">
      <c r="A67" s="234" t="s">
        <v>200</v>
      </c>
      <c r="B67" s="100"/>
      <c r="C67" s="100"/>
      <c r="D67" s="100"/>
      <c r="E67" s="100"/>
      <c r="F67" s="100"/>
      <c r="G67" s="373"/>
      <c r="H67" s="373"/>
      <c r="I67" s="373"/>
      <c r="J67" s="373"/>
      <c r="K67" s="373"/>
      <c r="L67" s="373"/>
      <c r="M67" s="373"/>
      <c r="N67" s="373"/>
      <c r="O67" s="373"/>
    </row>
    <row r="68" spans="1:19" x14ac:dyDescent="0.25">
      <c r="A68" s="100" t="s">
        <v>201</v>
      </c>
      <c r="B68" s="100"/>
      <c r="C68" s="100"/>
      <c r="D68" s="100"/>
      <c r="E68" s="100"/>
      <c r="F68" s="100"/>
      <c r="G68" s="235"/>
      <c r="H68" s="235"/>
      <c r="I68" s="386" t="s">
        <v>656</v>
      </c>
      <c r="J68" s="235"/>
      <c r="K68" s="235"/>
      <c r="L68" s="235"/>
      <c r="M68" s="235"/>
      <c r="N68" s="235"/>
    </row>
    <row r="69" spans="1:19" ht="15.75" thickBot="1" x14ac:dyDescent="0.3">
      <c r="A69" s="100"/>
      <c r="B69" s="100"/>
      <c r="C69" s="100"/>
      <c r="D69" s="100"/>
      <c r="E69" s="100"/>
      <c r="F69" s="100"/>
      <c r="G69" s="235"/>
      <c r="H69" s="235"/>
      <c r="I69" s="386"/>
      <c r="J69" s="235"/>
      <c r="K69" s="235"/>
      <c r="L69" s="235"/>
      <c r="M69" s="235"/>
      <c r="N69" s="235"/>
    </row>
    <row r="70" spans="1:19" ht="15.75" thickBot="1" x14ac:dyDescent="0.3">
      <c r="A70" s="665" t="s">
        <v>589</v>
      </c>
      <c r="B70" s="667" t="s">
        <v>199</v>
      </c>
      <c r="C70" s="668"/>
      <c r="D70" s="669"/>
      <c r="G70" s="350"/>
      <c r="H70" s="385" t="s">
        <v>583</v>
      </c>
      <c r="I70" s="384">
        <f>ROUND(88400*1.23,0)</f>
        <v>108732</v>
      </c>
      <c r="J70" s="350"/>
      <c r="K70" s="350"/>
      <c r="L70" s="350"/>
      <c r="M70" s="350"/>
      <c r="N70" s="350"/>
    </row>
    <row r="71" spans="1:19" ht="43.5" thickBot="1" x14ac:dyDescent="0.3">
      <c r="A71" s="666"/>
      <c r="B71" s="262" t="s">
        <v>587</v>
      </c>
      <c r="C71" s="262" t="s">
        <v>742</v>
      </c>
      <c r="D71" s="263" t="s">
        <v>86</v>
      </c>
      <c r="G71" s="100"/>
      <c r="H71" s="385" t="s">
        <v>582</v>
      </c>
      <c r="I71" s="384">
        <f>ROUND(94500*1.23,0)</f>
        <v>116235</v>
      </c>
      <c r="J71" s="100"/>
      <c r="K71" s="100"/>
      <c r="L71" s="100"/>
      <c r="M71" s="100"/>
      <c r="N71" s="100"/>
    </row>
    <row r="72" spans="1:19" ht="30" x14ac:dyDescent="0.25">
      <c r="A72" s="98" t="s">
        <v>542</v>
      </c>
      <c r="B72" s="462">
        <v>10500</v>
      </c>
      <c r="C72" s="462">
        <v>8000</v>
      </c>
      <c r="D72" s="463">
        <f>SUM(B72:C72)</f>
        <v>18500</v>
      </c>
      <c r="G72" s="100"/>
      <c r="H72" s="385" t="s">
        <v>581</v>
      </c>
      <c r="I72" s="384">
        <f>ROUND(102800*1.23,0)</f>
        <v>126444</v>
      </c>
      <c r="J72" s="100"/>
      <c r="K72" s="100"/>
      <c r="L72" s="100"/>
      <c r="M72" s="100"/>
      <c r="N72" s="100"/>
    </row>
    <row r="73" spans="1:19" ht="30" x14ac:dyDescent="0.25">
      <c r="A73" s="98" t="s">
        <v>588</v>
      </c>
      <c r="B73" s="464">
        <v>27000</v>
      </c>
      <c r="C73" s="464">
        <v>35000</v>
      </c>
      <c r="D73" s="463">
        <f>SUM(B73:C73)</f>
        <v>62000</v>
      </c>
      <c r="G73" s="100"/>
      <c r="H73" s="385" t="s">
        <v>580</v>
      </c>
      <c r="I73" s="384">
        <f>ROUND(119600*1.23,0)</f>
        <v>147108</v>
      </c>
      <c r="J73" s="100"/>
      <c r="K73" s="100"/>
      <c r="L73" s="100"/>
      <c r="M73" s="100"/>
      <c r="N73" s="100"/>
    </row>
    <row r="74" spans="1:19" ht="15.75" thickBot="1" x14ac:dyDescent="0.3">
      <c r="A74" s="99" t="s">
        <v>203</v>
      </c>
      <c r="B74" s="465">
        <v>20500</v>
      </c>
      <c r="C74" s="465">
        <v>8000</v>
      </c>
      <c r="D74" s="466">
        <f>SUM(B74:C74)</f>
        <v>28500</v>
      </c>
      <c r="G74" s="100"/>
      <c r="H74" s="385" t="s">
        <v>593</v>
      </c>
      <c r="I74" s="384">
        <f>ROUND(239400*1.23,0)</f>
        <v>294462</v>
      </c>
      <c r="J74" s="100"/>
      <c r="K74" s="100"/>
      <c r="L74" s="100"/>
      <c r="M74" s="100"/>
      <c r="N74" s="100"/>
    </row>
    <row r="75" spans="1:19" ht="15.75" customHeight="1" x14ac:dyDescent="0.25">
      <c r="A75" s="100"/>
      <c r="B75" s="100"/>
      <c r="C75" s="100"/>
      <c r="D75" s="100"/>
      <c r="E75" s="100"/>
      <c r="F75" s="100"/>
    </row>
    <row r="76" spans="1:19" x14ac:dyDescent="0.25">
      <c r="A76" s="234" t="s">
        <v>204</v>
      </c>
      <c r="B76" s="100"/>
      <c r="C76" s="100"/>
      <c r="D76" s="100"/>
      <c r="E76" s="100"/>
      <c r="F76" s="100"/>
    </row>
    <row r="77" spans="1:19" x14ac:dyDescent="0.25">
      <c r="A77" s="100" t="s">
        <v>205</v>
      </c>
      <c r="B77" s="100"/>
      <c r="C77" s="100"/>
      <c r="D77" s="100"/>
      <c r="E77" s="100"/>
      <c r="F77" s="100"/>
    </row>
    <row r="78" spans="1:19" ht="15.75" thickBot="1" x14ac:dyDescent="0.3">
      <c r="A78" s="100"/>
      <c r="B78" s="100"/>
      <c r="C78" s="100"/>
      <c r="D78" s="100"/>
      <c r="E78" s="100"/>
      <c r="F78" s="100"/>
    </row>
    <row r="79" spans="1:19" ht="15.75" thickBot="1" x14ac:dyDescent="0.3">
      <c r="A79" s="665" t="s">
        <v>663</v>
      </c>
      <c r="B79" s="667" t="s">
        <v>199</v>
      </c>
      <c r="C79" s="668"/>
      <c r="D79" s="669"/>
    </row>
    <row r="80" spans="1:19" ht="43.5" thickBot="1" x14ac:dyDescent="0.3">
      <c r="A80" s="666"/>
      <c r="B80" s="262" t="s">
        <v>587</v>
      </c>
      <c r="C80" s="262" t="s">
        <v>742</v>
      </c>
      <c r="D80" s="263" t="s">
        <v>86</v>
      </c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</row>
    <row r="81" spans="1:18" x14ac:dyDescent="0.25">
      <c r="A81" s="96" t="s">
        <v>202</v>
      </c>
      <c r="B81" s="467">
        <v>41000</v>
      </c>
      <c r="C81" s="467">
        <v>8000</v>
      </c>
      <c r="D81" s="468">
        <f>SUM(B81:C81)</f>
        <v>49000</v>
      </c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</row>
    <row r="82" spans="1:18" ht="15.75" thickBot="1" x14ac:dyDescent="0.3">
      <c r="A82" s="97" t="s">
        <v>203</v>
      </c>
      <c r="B82" s="465">
        <v>90000</v>
      </c>
      <c r="C82" s="465">
        <v>8000</v>
      </c>
      <c r="D82" s="466">
        <f>SUM(B82:C82)</f>
        <v>98000</v>
      </c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</row>
    <row r="83" spans="1:18" ht="15.75" customHeight="1" x14ac:dyDescent="0.25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</row>
    <row r="84" spans="1:18" ht="39" customHeight="1" x14ac:dyDescent="0.25">
      <c r="A84" s="100"/>
      <c r="B84" s="100"/>
      <c r="C84" s="100"/>
      <c r="D84" s="100"/>
      <c r="E84" s="100"/>
      <c r="F84" s="100"/>
    </row>
    <row r="85" spans="1:18" x14ac:dyDescent="0.25">
      <c r="A85" s="100"/>
      <c r="B85" s="100"/>
      <c r="C85" s="100"/>
      <c r="D85" s="100"/>
      <c r="E85" s="100"/>
      <c r="F85" s="100"/>
    </row>
    <row r="86" spans="1:18" x14ac:dyDescent="0.25">
      <c r="A86" s="351" t="s">
        <v>743</v>
      </c>
      <c r="B86" s="351"/>
      <c r="C86" s="351"/>
      <c r="D86" s="351"/>
      <c r="E86" s="351"/>
      <c r="F86" s="351"/>
    </row>
    <row r="87" spans="1:18" x14ac:dyDescent="0.25">
      <c r="A87" s="100"/>
      <c r="B87" s="100"/>
      <c r="C87" s="100"/>
      <c r="D87" s="100"/>
      <c r="E87" s="100"/>
      <c r="F87" s="100"/>
    </row>
    <row r="88" spans="1:18" x14ac:dyDescent="0.25">
      <c r="A88" s="234" t="s">
        <v>661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</row>
    <row r="89" spans="1:18" x14ac:dyDescent="0.25">
      <c r="A89" s="100" t="s">
        <v>662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</row>
    <row r="90" spans="1:18" x14ac:dyDescent="0.25">
      <c r="A90" s="100" t="s">
        <v>206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</row>
    <row r="91" spans="1:18" x14ac:dyDescent="0.25">
      <c r="A91" s="100"/>
      <c r="B91" s="100"/>
      <c r="C91" s="100"/>
      <c r="D91" s="100"/>
      <c r="E91" s="100"/>
      <c r="F91" s="100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</row>
    <row r="92" spans="1:18" x14ac:dyDescent="0.2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</row>
    <row r="93" spans="1:18" x14ac:dyDescent="0.25">
      <c r="A93" s="100" t="s">
        <v>744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</row>
    <row r="94" spans="1:18" x14ac:dyDescent="0.25">
      <c r="A94" s="100" t="s">
        <v>745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</row>
    <row r="95" spans="1:18" x14ac:dyDescent="0.25"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</row>
    <row r="96" spans="1:18" x14ac:dyDescent="0.25"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</row>
    <row r="97" spans="7:18" x14ac:dyDescent="0.25"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</row>
    <row r="98" spans="7:18" x14ac:dyDescent="0.25"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</row>
    <row r="99" spans="7:18" x14ac:dyDescent="0.25"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</sheetData>
  <mergeCells count="23">
    <mergeCell ref="A61:B61"/>
    <mergeCell ref="A70:A71"/>
    <mergeCell ref="B70:D70"/>
    <mergeCell ref="A79:A80"/>
    <mergeCell ref="B79:D79"/>
    <mergeCell ref="J54:K54"/>
    <mergeCell ref="B30:F30"/>
    <mergeCell ref="L30:P30"/>
    <mergeCell ref="H48:K48"/>
    <mergeCell ref="H49:I49"/>
    <mergeCell ref="J49:K49"/>
    <mergeCell ref="J50:K50"/>
    <mergeCell ref="C46:D46"/>
    <mergeCell ref="J51:K51"/>
    <mergeCell ref="J52:K52"/>
    <mergeCell ref="C48:D48"/>
    <mergeCell ref="J53:K53"/>
    <mergeCell ref="C50:D50"/>
    <mergeCell ref="A1:K1"/>
    <mergeCell ref="A2:K2"/>
    <mergeCell ref="B16:K16"/>
    <mergeCell ref="G18:K18"/>
    <mergeCell ref="C49:D49"/>
  </mergeCells>
  <printOptions horizontalCentered="1"/>
  <pageMargins left="0.25" right="0.25" top="0.75" bottom="0.75" header="0.3" footer="0.3"/>
  <pageSetup paperSize="9" scale="2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pageSetUpPr fitToPage="1"/>
  </sheetPr>
  <dimension ref="A1:I47"/>
  <sheetViews>
    <sheetView showGridLines="0" zoomScaleNormal="100" zoomScaleSheetLayoutView="100" workbookViewId="0">
      <selection activeCell="E5" sqref="E5"/>
    </sheetView>
  </sheetViews>
  <sheetFormatPr defaultColWidth="9.140625" defaultRowHeight="15" x14ac:dyDescent="0.25"/>
  <cols>
    <col min="1" max="1" width="15.85546875" style="25" customWidth="1"/>
    <col min="2" max="2" width="14.28515625" style="25" customWidth="1"/>
    <col min="3" max="3" width="11.5703125" style="25" customWidth="1"/>
    <col min="4" max="4" width="9.140625" style="25"/>
    <col min="5" max="5" width="22.7109375" style="110" customWidth="1"/>
    <col min="6" max="6" width="15.140625" style="25" customWidth="1"/>
    <col min="7" max="7" width="51.85546875" style="25" bestFit="1" customWidth="1"/>
    <col min="8" max="16384" width="9.140625" style="25"/>
  </cols>
  <sheetData>
    <row r="1" spans="1:8" ht="39" customHeight="1" x14ac:dyDescent="0.25">
      <c r="A1" s="624" t="s">
        <v>433</v>
      </c>
      <c r="B1" s="624"/>
      <c r="C1" s="624"/>
      <c r="D1" s="624"/>
      <c r="E1" s="624"/>
      <c r="F1" s="423"/>
      <c r="G1" s="286"/>
      <c r="H1" s="286"/>
    </row>
    <row r="2" spans="1:8" s="42" customFormat="1" ht="39" customHeight="1" x14ac:dyDescent="0.25">
      <c r="A2" s="626" t="s">
        <v>207</v>
      </c>
      <c r="B2" s="626"/>
      <c r="C2" s="626"/>
      <c r="D2" s="626"/>
      <c r="E2" s="626"/>
      <c r="F2" s="424"/>
      <c r="G2" s="287"/>
      <c r="H2" s="287"/>
    </row>
    <row r="3" spans="1:8" s="42" customFormat="1" x14ac:dyDescent="0.25">
      <c r="A3" s="25" t="s">
        <v>210</v>
      </c>
      <c r="B3" s="275"/>
      <c r="C3" s="275"/>
      <c r="D3" s="275"/>
      <c r="E3" s="442"/>
      <c r="F3" s="424"/>
      <c r="G3" s="275"/>
      <c r="H3" s="275"/>
    </row>
    <row r="4" spans="1:8" s="42" customFormat="1" ht="15" customHeight="1" x14ac:dyDescent="0.25">
      <c r="A4" s="275"/>
      <c r="B4" s="275"/>
      <c r="C4" s="275"/>
      <c r="D4" s="275"/>
      <c r="E4" s="442"/>
      <c r="F4" s="424"/>
      <c r="G4" s="275"/>
      <c r="H4" s="275"/>
    </row>
    <row r="5" spans="1:8" ht="17.100000000000001" customHeight="1" x14ac:dyDescent="0.25">
      <c r="A5" s="49" t="s">
        <v>208</v>
      </c>
      <c r="C5" s="551"/>
      <c r="E5" s="552"/>
      <c r="F5" s="101"/>
    </row>
    <row r="6" spans="1:8" ht="16.5" customHeight="1" x14ac:dyDescent="0.25">
      <c r="A6" s="30" t="s">
        <v>209</v>
      </c>
      <c r="C6" s="101"/>
      <c r="E6" s="443"/>
      <c r="F6" s="101"/>
    </row>
    <row r="7" spans="1:8" ht="17.100000000000001" customHeight="1" x14ac:dyDescent="0.25">
      <c r="B7" s="25" t="s">
        <v>211</v>
      </c>
      <c r="C7" s="102"/>
      <c r="E7" s="537" t="s">
        <v>912</v>
      </c>
      <c r="F7" s="415"/>
      <c r="G7" s="145"/>
    </row>
    <row r="8" spans="1:8" ht="17.100000000000001" customHeight="1" x14ac:dyDescent="0.25">
      <c r="B8" s="25" t="s">
        <v>213</v>
      </c>
      <c r="C8" s="102"/>
      <c r="E8" s="537" t="s">
        <v>913</v>
      </c>
      <c r="F8" s="415"/>
      <c r="G8" s="145"/>
    </row>
    <row r="9" spans="1:8" ht="17.100000000000001" customHeight="1" x14ac:dyDescent="0.25">
      <c r="C9" s="102"/>
      <c r="E9" s="537"/>
      <c r="F9" s="415"/>
      <c r="G9" s="145"/>
    </row>
    <row r="10" spans="1:8" ht="17.100000000000001" customHeight="1" x14ac:dyDescent="0.25">
      <c r="A10" s="30" t="s">
        <v>214</v>
      </c>
      <c r="C10" s="26"/>
      <c r="E10" s="204"/>
      <c r="F10" s="145"/>
    </row>
    <row r="11" spans="1:8" ht="17.100000000000001" customHeight="1" x14ac:dyDescent="0.25">
      <c r="B11" s="25" t="s">
        <v>211</v>
      </c>
      <c r="C11" s="102"/>
      <c r="E11" s="537" t="s">
        <v>914</v>
      </c>
      <c r="G11" s="480"/>
      <c r="H11" s="40"/>
    </row>
    <row r="12" spans="1:8" ht="17.100000000000001" customHeight="1" x14ac:dyDescent="0.25">
      <c r="B12" s="25" t="s">
        <v>213</v>
      </c>
      <c r="C12" s="102"/>
      <c r="E12" s="537" t="s">
        <v>915</v>
      </c>
      <c r="F12" s="145"/>
      <c r="G12" s="437"/>
      <c r="H12" s="145"/>
    </row>
    <row r="13" spans="1:8" ht="17.100000000000001" customHeight="1" x14ac:dyDescent="0.25">
      <c r="C13" s="416"/>
      <c r="D13" s="417"/>
      <c r="E13" s="204"/>
      <c r="F13" s="145"/>
      <c r="G13" s="437"/>
      <c r="H13" s="145"/>
    </row>
    <row r="14" spans="1:8" ht="17.100000000000001" customHeight="1" x14ac:dyDescent="0.25">
      <c r="A14" s="30" t="s">
        <v>544</v>
      </c>
      <c r="C14" s="312"/>
      <c r="E14" s="204"/>
      <c r="F14" s="145"/>
      <c r="G14" s="437"/>
      <c r="H14" s="145"/>
    </row>
    <row r="15" spans="1:8" ht="17.100000000000001" customHeight="1" x14ac:dyDescent="0.25">
      <c r="B15" s="25" t="s">
        <v>211</v>
      </c>
      <c r="C15" s="102"/>
      <c r="E15" s="538" t="s">
        <v>673</v>
      </c>
      <c r="F15" s="439"/>
      <c r="G15" s="438"/>
      <c r="H15" s="145"/>
    </row>
    <row r="16" spans="1:8" ht="17.100000000000001" customHeight="1" x14ac:dyDescent="0.25">
      <c r="B16" s="25" t="s">
        <v>213</v>
      </c>
      <c r="C16" s="102"/>
      <c r="E16" s="538" t="s">
        <v>676</v>
      </c>
      <c r="F16" s="439"/>
      <c r="G16" s="103"/>
    </row>
    <row r="17" spans="1:7" ht="17.100000000000001" customHeight="1" x14ac:dyDescent="0.25">
      <c r="C17" s="102"/>
      <c r="E17" s="538"/>
      <c r="F17" s="439"/>
      <c r="G17" s="437"/>
    </row>
    <row r="18" spans="1:7" ht="17.100000000000001" customHeight="1" x14ac:dyDescent="0.25">
      <c r="A18" s="49" t="s">
        <v>218</v>
      </c>
      <c r="C18" s="101"/>
      <c r="E18" s="204"/>
      <c r="F18" s="440"/>
      <c r="G18" s="103"/>
    </row>
    <row r="19" spans="1:7" ht="17.100000000000001" customHeight="1" x14ac:dyDescent="0.25">
      <c r="A19" s="30" t="s">
        <v>209</v>
      </c>
      <c r="C19" s="101"/>
      <c r="E19" s="537"/>
      <c r="F19" s="441"/>
      <c r="G19" s="103"/>
    </row>
    <row r="20" spans="1:7" x14ac:dyDescent="0.25">
      <c r="B20" s="25" t="s">
        <v>211</v>
      </c>
      <c r="C20" s="102"/>
      <c r="E20" s="537" t="s">
        <v>928</v>
      </c>
      <c r="F20" s="441"/>
      <c r="G20" s="441"/>
    </row>
    <row r="21" spans="1:7" x14ac:dyDescent="0.25">
      <c r="B21" s="25" t="s">
        <v>213</v>
      </c>
      <c r="C21" s="102"/>
      <c r="E21" s="537" t="s">
        <v>916</v>
      </c>
      <c r="F21" s="441"/>
    </row>
    <row r="22" spans="1:7" x14ac:dyDescent="0.25">
      <c r="C22" s="102"/>
      <c r="E22" s="537"/>
      <c r="F22" s="441"/>
    </row>
    <row r="23" spans="1:7" x14ac:dyDescent="0.25">
      <c r="A23" s="30" t="s">
        <v>214</v>
      </c>
      <c r="C23" s="26"/>
      <c r="E23" s="537"/>
      <c r="F23" s="441"/>
    </row>
    <row r="24" spans="1:7" x14ac:dyDescent="0.25">
      <c r="B24" s="25" t="s">
        <v>211</v>
      </c>
      <c r="C24" s="102"/>
      <c r="E24" s="204" t="s">
        <v>725</v>
      </c>
      <c r="F24" s="440"/>
    </row>
    <row r="25" spans="1:7" x14ac:dyDescent="0.25">
      <c r="B25" s="25" t="s">
        <v>213</v>
      </c>
      <c r="C25" s="102"/>
      <c r="E25" s="537" t="s">
        <v>917</v>
      </c>
      <c r="F25" s="440"/>
    </row>
    <row r="26" spans="1:7" x14ac:dyDescent="0.25">
      <c r="C26" s="102"/>
      <c r="E26" s="204"/>
      <c r="F26" s="440"/>
    </row>
    <row r="27" spans="1:7" x14ac:dyDescent="0.25">
      <c r="A27" s="30" t="s">
        <v>544</v>
      </c>
      <c r="C27" s="26"/>
      <c r="E27" s="204"/>
      <c r="F27" s="440"/>
      <c r="G27" s="103"/>
    </row>
    <row r="28" spans="1:7" x14ac:dyDescent="0.25">
      <c r="B28" s="25" t="s">
        <v>211</v>
      </c>
      <c r="C28" s="102"/>
      <c r="E28" s="537" t="s">
        <v>927</v>
      </c>
      <c r="F28" s="440"/>
    </row>
    <row r="29" spans="1:7" x14ac:dyDescent="0.25">
      <c r="B29" s="25" t="s">
        <v>213</v>
      </c>
      <c r="C29" s="102"/>
      <c r="E29" s="537" t="s">
        <v>918</v>
      </c>
      <c r="F29" s="441"/>
    </row>
    <row r="30" spans="1:7" ht="15" customHeight="1" x14ac:dyDescent="0.25">
      <c r="C30" s="101"/>
      <c r="E30" s="537"/>
      <c r="F30" s="441"/>
      <c r="G30" s="281"/>
    </row>
    <row r="31" spans="1:7" x14ac:dyDescent="0.25">
      <c r="A31" s="49" t="s">
        <v>467</v>
      </c>
      <c r="E31" s="204"/>
      <c r="F31" s="440"/>
    </row>
    <row r="32" spans="1:7" x14ac:dyDescent="0.25">
      <c r="A32" s="30" t="s">
        <v>209</v>
      </c>
      <c r="C32" s="101"/>
      <c r="E32" s="204"/>
      <c r="F32" s="440"/>
    </row>
    <row r="33" spans="1:9" x14ac:dyDescent="0.25">
      <c r="B33" s="25" t="s">
        <v>211</v>
      </c>
      <c r="C33" s="102"/>
      <c r="D33" s="102"/>
      <c r="E33" s="537" t="s">
        <v>923</v>
      </c>
      <c r="F33" s="102"/>
      <c r="G33" s="50"/>
      <c r="H33" s="50"/>
    </row>
    <row r="34" spans="1:9" x14ac:dyDescent="0.25">
      <c r="B34" s="25" t="s">
        <v>213</v>
      </c>
      <c r="C34" s="102"/>
      <c r="D34" s="102"/>
      <c r="E34" s="204" t="s">
        <v>669</v>
      </c>
      <c r="F34" s="440"/>
      <c r="G34" s="30"/>
    </row>
    <row r="35" spans="1:9" ht="15.75" customHeight="1" x14ac:dyDescent="0.25">
      <c r="B35" s="25" t="s">
        <v>639</v>
      </c>
      <c r="C35" s="102"/>
      <c r="E35" s="537" t="s">
        <v>764</v>
      </c>
      <c r="F35" s="441"/>
    </row>
    <row r="36" spans="1:9" x14ac:dyDescent="0.25">
      <c r="C36" s="102"/>
      <c r="E36" s="204"/>
    </row>
    <row r="37" spans="1:9" ht="15" customHeight="1" x14ac:dyDescent="0.25">
      <c r="A37" s="30" t="s">
        <v>214</v>
      </c>
      <c r="C37" s="26"/>
      <c r="E37" s="537"/>
      <c r="F37" s="415"/>
    </row>
    <row r="38" spans="1:9" ht="15" customHeight="1" x14ac:dyDescent="0.25">
      <c r="B38" s="25" t="s">
        <v>211</v>
      </c>
      <c r="C38" s="102"/>
      <c r="E38" s="537" t="s">
        <v>923</v>
      </c>
      <c r="F38" s="415"/>
    </row>
    <row r="39" spans="1:9" x14ac:dyDescent="0.25">
      <c r="B39" s="25" t="s">
        <v>213</v>
      </c>
      <c r="C39" s="102"/>
      <c r="E39" s="539" t="s">
        <v>669</v>
      </c>
      <c r="F39" s="145"/>
    </row>
    <row r="40" spans="1:9" x14ac:dyDescent="0.25">
      <c r="C40" s="102"/>
      <c r="E40" s="204"/>
      <c r="F40" s="145"/>
      <c r="G40" s="30"/>
      <c r="I40" s="26"/>
    </row>
    <row r="41" spans="1:9" x14ac:dyDescent="0.25">
      <c r="A41" s="49" t="s">
        <v>462</v>
      </c>
      <c r="E41" s="204"/>
      <c r="F41" s="145"/>
    </row>
    <row r="42" spans="1:9" x14ac:dyDescent="0.25">
      <c r="A42" s="30" t="s">
        <v>214</v>
      </c>
      <c r="C42" s="26"/>
      <c r="E42" s="204"/>
      <c r="F42" s="145"/>
    </row>
    <row r="43" spans="1:9" x14ac:dyDescent="0.25">
      <c r="A43" s="51"/>
      <c r="B43" s="51" t="s">
        <v>211</v>
      </c>
      <c r="C43" s="215"/>
      <c r="D43" s="51"/>
      <c r="E43" s="204" t="s">
        <v>674</v>
      </c>
      <c r="F43" s="145"/>
    </row>
    <row r="44" spans="1:9" x14ac:dyDescent="0.25">
      <c r="B44" s="25" t="s">
        <v>213</v>
      </c>
      <c r="C44" s="102"/>
      <c r="E44" s="204" t="s">
        <v>675</v>
      </c>
      <c r="F44" s="145"/>
    </row>
    <row r="46" spans="1:9" ht="73.5" customHeight="1" x14ac:dyDescent="0.25">
      <c r="A46" s="670" t="s">
        <v>461</v>
      </c>
      <c r="B46" s="670"/>
      <c r="C46" s="670"/>
      <c r="D46" s="670"/>
      <c r="E46" s="670"/>
    </row>
    <row r="47" spans="1:9" x14ac:dyDescent="0.25">
      <c r="E47" s="444"/>
      <c r="F47" s="426"/>
    </row>
  </sheetData>
  <mergeCells count="3">
    <mergeCell ref="A1:E1"/>
    <mergeCell ref="A2:E2"/>
    <mergeCell ref="A46:E46"/>
  </mergeCells>
  <printOptions horizontalCentered="1"/>
  <pageMargins left="0.97" right="0.33" top="0.45" bottom="0.98425196850393704" header="0.39" footer="0.51181102362204722"/>
  <pageSetup paperSize="9" scale="92" orientation="portrait" r:id="rId1"/>
  <headerFooter alignWithMargins="0"/>
  <rowBreaks count="1" manualBreakCount="1">
    <brk id="3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pageSetUpPr fitToPage="1"/>
  </sheetPr>
  <dimension ref="A1:F45"/>
  <sheetViews>
    <sheetView showGridLines="0" topLeftCell="A13" zoomScaleNormal="100" zoomScaleSheetLayoutView="100" workbookViewId="0">
      <selection activeCell="D2" sqref="D2"/>
    </sheetView>
  </sheetViews>
  <sheetFormatPr defaultRowHeight="15" x14ac:dyDescent="0.25"/>
  <cols>
    <col min="1" max="1" width="46.7109375" customWidth="1"/>
    <col min="2" max="2" width="11.140625" customWidth="1"/>
    <col min="3" max="3" width="11.42578125" customWidth="1"/>
    <col min="4" max="4" width="14.85546875" customWidth="1"/>
    <col min="5" max="5" width="25.7109375" customWidth="1"/>
    <col min="6" max="6" width="10.140625" bestFit="1" customWidth="1"/>
  </cols>
  <sheetData>
    <row r="1" spans="1:6" ht="57" customHeight="1" x14ac:dyDescent="0.25">
      <c r="A1" s="624" t="s">
        <v>216</v>
      </c>
      <c r="B1" s="624"/>
      <c r="C1" s="624"/>
      <c r="D1" s="41"/>
      <c r="E1" s="41"/>
      <c r="F1" s="41"/>
    </row>
    <row r="2" spans="1:6" ht="58.5" customHeight="1" x14ac:dyDescent="0.25">
      <c r="A2" s="630" t="s">
        <v>512</v>
      </c>
      <c r="B2" s="630"/>
      <c r="C2" s="630"/>
      <c r="D2" s="495"/>
      <c r="E2" s="39"/>
      <c r="F2" s="39"/>
    </row>
    <row r="3" spans="1:6" x14ac:dyDescent="0.25">
      <c r="A3" s="24"/>
      <c r="B3" s="25"/>
      <c r="C3" s="25"/>
      <c r="D3" s="25"/>
      <c r="E3" s="25"/>
      <c r="F3" s="25"/>
    </row>
    <row r="4" spans="1:6" x14ac:dyDescent="0.25">
      <c r="A4" s="172" t="s">
        <v>217</v>
      </c>
      <c r="B4" s="25"/>
      <c r="C4" s="25"/>
      <c r="D4" s="25"/>
      <c r="E4" s="25"/>
      <c r="F4" s="25"/>
    </row>
    <row r="5" spans="1:6" x14ac:dyDescent="0.25">
      <c r="A5" s="25"/>
      <c r="B5" s="25"/>
      <c r="C5" s="25"/>
      <c r="D5" s="25"/>
      <c r="E5" s="25"/>
      <c r="F5" s="25"/>
    </row>
    <row r="6" spans="1:6" s="210" customFormat="1" x14ac:dyDescent="0.25">
      <c r="A6" s="49" t="s">
        <v>218</v>
      </c>
      <c r="B6" s="549"/>
      <c r="C6" s="256"/>
      <c r="D6" s="25"/>
    </row>
    <row r="7" spans="1:6" x14ac:dyDescent="0.25">
      <c r="A7" s="25"/>
      <c r="B7" s="25"/>
      <c r="C7" s="256"/>
      <c r="D7" s="25"/>
    </row>
    <row r="8" spans="1:6" ht="16.5" x14ac:dyDescent="0.25">
      <c r="A8" s="25" t="s">
        <v>219</v>
      </c>
      <c r="B8" s="153"/>
      <c r="C8" s="533">
        <v>1335</v>
      </c>
      <c r="D8" s="145"/>
    </row>
    <row r="9" spans="1:6" x14ac:dyDescent="0.25">
      <c r="A9" s="28" t="s">
        <v>175</v>
      </c>
      <c r="B9" s="105"/>
      <c r="C9" s="63">
        <v>360</v>
      </c>
      <c r="D9" s="25"/>
    </row>
    <row r="10" spans="1:6" ht="16.5" x14ac:dyDescent="0.25">
      <c r="A10" s="50" t="s">
        <v>220</v>
      </c>
      <c r="B10" s="75"/>
      <c r="C10" s="535">
        <v>1695</v>
      </c>
      <c r="D10" s="25"/>
    </row>
    <row r="11" spans="1:6" x14ac:dyDescent="0.25">
      <c r="A11" s="50"/>
      <c r="B11" s="75"/>
      <c r="C11" s="256"/>
      <c r="D11" s="25"/>
    </row>
    <row r="12" spans="1:6" s="210" customFormat="1" x14ac:dyDescent="0.25">
      <c r="A12" s="49" t="s">
        <v>462</v>
      </c>
      <c r="B12" s="25"/>
      <c r="C12" s="256"/>
      <c r="D12" s="25"/>
    </row>
    <row r="13" spans="1:6" x14ac:dyDescent="0.25">
      <c r="A13" s="25"/>
      <c r="B13" s="25"/>
      <c r="C13" s="256"/>
      <c r="D13" s="25"/>
    </row>
    <row r="14" spans="1:6" ht="16.5" x14ac:dyDescent="0.25">
      <c r="A14" s="25" t="s">
        <v>219</v>
      </c>
      <c r="B14" s="153"/>
      <c r="C14" s="533">
        <v>1051</v>
      </c>
      <c r="D14" s="25"/>
    </row>
    <row r="15" spans="1:6" x14ac:dyDescent="0.25">
      <c r="A15" s="28" t="s">
        <v>175</v>
      </c>
      <c r="B15" s="105"/>
      <c r="C15" s="63">
        <f>ROUND((C14*0.27),0)</f>
        <v>284</v>
      </c>
      <c r="D15" s="25"/>
    </row>
    <row r="16" spans="1:6" ht="16.5" x14ac:dyDescent="0.25">
      <c r="A16" s="50" t="s">
        <v>220</v>
      </c>
      <c r="B16" s="75"/>
      <c r="C16" s="535">
        <f>C14+C15</f>
        <v>1335</v>
      </c>
    </row>
    <row r="17" spans="1:6" x14ac:dyDescent="0.25">
      <c r="A17" s="50"/>
      <c r="B17" s="75"/>
      <c r="C17" s="272"/>
    </row>
    <row r="18" spans="1:6" s="210" customFormat="1" x14ac:dyDescent="0.25">
      <c r="A18" s="49" t="s">
        <v>208</v>
      </c>
      <c r="B18" s="25"/>
      <c r="C18" s="256"/>
      <c r="D18" s="25"/>
    </row>
    <row r="19" spans="1:6" x14ac:dyDescent="0.25">
      <c r="A19" s="25"/>
      <c r="B19" s="25"/>
      <c r="C19" s="256"/>
      <c r="D19" s="25"/>
    </row>
    <row r="20" spans="1:6" ht="16.5" x14ac:dyDescent="0.25">
      <c r="A20" s="25" t="s">
        <v>219</v>
      </c>
      <c r="B20" s="153"/>
      <c r="C20" s="533">
        <v>827</v>
      </c>
      <c r="D20" s="25"/>
    </row>
    <row r="21" spans="1:6" x14ac:dyDescent="0.25">
      <c r="A21" s="28" t="s">
        <v>175</v>
      </c>
      <c r="B21" s="105"/>
      <c r="C21" s="63">
        <f>ROUND(C20*0.27,0)</f>
        <v>223</v>
      </c>
      <c r="D21" s="25"/>
    </row>
    <row r="22" spans="1:6" ht="16.5" x14ac:dyDescent="0.25">
      <c r="A22" s="50" t="s">
        <v>220</v>
      </c>
      <c r="B22" s="75"/>
      <c r="C22" s="535">
        <f>SUM(C20:C21)</f>
        <v>1050</v>
      </c>
      <c r="D22" s="25"/>
    </row>
    <row r="23" spans="1:6" x14ac:dyDescent="0.25">
      <c r="A23" s="50"/>
      <c r="B23" s="25"/>
      <c r="C23" s="256"/>
      <c r="D23" s="25"/>
      <c r="E23" s="25"/>
      <c r="F23" s="25"/>
    </row>
    <row r="24" spans="1:6" s="210" customFormat="1" x14ac:dyDescent="0.25">
      <c r="A24" s="49" t="s">
        <v>467</v>
      </c>
      <c r="B24" s="25"/>
      <c r="C24" s="256"/>
      <c r="D24" s="25"/>
      <c r="E24" s="25"/>
      <c r="F24" s="25"/>
    </row>
    <row r="25" spans="1:6" x14ac:dyDescent="0.25">
      <c r="A25" s="49"/>
      <c r="B25" s="25"/>
      <c r="C25" s="256"/>
      <c r="D25" s="25"/>
      <c r="E25" s="25"/>
      <c r="F25" s="25"/>
    </row>
    <row r="26" spans="1:6" ht="16.5" x14ac:dyDescent="0.25">
      <c r="A26" s="25" t="s">
        <v>219</v>
      </c>
      <c r="B26" s="153"/>
      <c r="C26" s="533">
        <v>1016</v>
      </c>
      <c r="D26" s="25"/>
      <c r="E26" s="25"/>
      <c r="F26" s="25"/>
    </row>
    <row r="27" spans="1:6" x14ac:dyDescent="0.25">
      <c r="A27" s="28" t="s">
        <v>175</v>
      </c>
      <c r="B27" s="105"/>
      <c r="C27" s="534">
        <v>274</v>
      </c>
      <c r="D27" s="25"/>
      <c r="E27" s="25"/>
      <c r="F27" s="25"/>
    </row>
    <row r="28" spans="1:6" ht="16.5" x14ac:dyDescent="0.25">
      <c r="A28" s="50" t="s">
        <v>220</v>
      </c>
      <c r="B28" s="75"/>
      <c r="C28" s="535">
        <v>1290</v>
      </c>
      <c r="D28" s="25"/>
      <c r="E28" s="25"/>
      <c r="F28" s="25"/>
    </row>
    <row r="29" spans="1:6" s="171" customFormat="1" x14ac:dyDescent="0.25">
      <c r="A29" s="50"/>
      <c r="B29" s="25"/>
      <c r="C29" s="256"/>
      <c r="D29" s="25"/>
      <c r="E29" s="25"/>
      <c r="F29" s="25"/>
    </row>
    <row r="30" spans="1:6" s="210" customFormat="1" x14ac:dyDescent="0.25">
      <c r="A30" s="185" t="s">
        <v>513</v>
      </c>
      <c r="B30" s="186"/>
      <c r="C30" s="256"/>
      <c r="D30" s="25"/>
    </row>
    <row r="31" spans="1:6" s="171" customFormat="1" x14ac:dyDescent="0.25">
      <c r="A31" s="186"/>
      <c r="B31" s="186"/>
      <c r="C31" s="256"/>
      <c r="D31" s="145"/>
    </row>
    <row r="32" spans="1:6" s="171" customFormat="1" ht="16.5" x14ac:dyDescent="0.25">
      <c r="A32" s="186" t="s">
        <v>509</v>
      </c>
      <c r="B32" s="187"/>
      <c r="C32" s="533">
        <v>1650</v>
      </c>
      <c r="D32" s="145"/>
    </row>
    <row r="33" spans="1:6" s="171" customFormat="1" x14ac:dyDescent="0.25">
      <c r="A33" s="188" t="s">
        <v>175</v>
      </c>
      <c r="B33" s="189"/>
      <c r="C33" s="534">
        <f>ROUND((C32*0.27),0)-1</f>
        <v>445</v>
      </c>
      <c r="D33" s="145"/>
    </row>
    <row r="34" spans="1:6" ht="16.5" x14ac:dyDescent="0.25">
      <c r="A34" s="190" t="s">
        <v>510</v>
      </c>
      <c r="B34" s="191"/>
      <c r="C34" s="535">
        <f>C32+C33</f>
        <v>2095</v>
      </c>
      <c r="D34" s="145"/>
      <c r="E34" s="171"/>
      <c r="F34" s="171"/>
    </row>
    <row r="35" spans="1:6" x14ac:dyDescent="0.25">
      <c r="A35" s="50"/>
      <c r="B35" s="75"/>
      <c r="C35" s="25"/>
      <c r="D35" s="25"/>
    </row>
    <row r="36" spans="1:6" x14ac:dyDescent="0.25">
      <c r="A36" s="106"/>
      <c r="B36" s="107"/>
      <c r="C36" s="107"/>
      <c r="D36" s="108"/>
      <c r="E36" s="107"/>
      <c r="F36" s="107"/>
    </row>
    <row r="37" spans="1:6" x14ac:dyDescent="0.25">
      <c r="A37" s="69" t="s">
        <v>221</v>
      </c>
      <c r="B37" s="25"/>
      <c r="C37" s="25"/>
      <c r="D37" s="75"/>
      <c r="E37" s="25"/>
      <c r="F37" s="107"/>
    </row>
    <row r="38" spans="1:6" x14ac:dyDescent="0.25">
      <c r="A38" s="109" t="s">
        <v>222</v>
      </c>
      <c r="C38" s="192" t="s">
        <v>223</v>
      </c>
      <c r="E38" s="25"/>
      <c r="F38" s="107"/>
    </row>
    <row r="39" spans="1:6" ht="16.5" customHeight="1" x14ac:dyDescent="0.25">
      <c r="A39" s="25" t="s">
        <v>640</v>
      </c>
      <c r="B39" s="110" t="s">
        <v>224</v>
      </c>
      <c r="C39" s="192" t="s">
        <v>225</v>
      </c>
      <c r="E39" s="25"/>
      <c r="F39" s="107"/>
    </row>
    <row r="40" spans="1:6" ht="16.5" x14ac:dyDescent="0.3">
      <c r="A40" s="25" t="s">
        <v>226</v>
      </c>
      <c r="B40" s="110" t="s">
        <v>224</v>
      </c>
      <c r="C40" s="192" t="s">
        <v>227</v>
      </c>
      <c r="E40" s="25"/>
      <c r="F40" s="107"/>
    </row>
    <row r="41" spans="1:6" x14ac:dyDescent="0.25">
      <c r="A41" s="25" t="s">
        <v>228</v>
      </c>
      <c r="B41" s="110" t="s">
        <v>224</v>
      </c>
      <c r="C41" s="192" t="s">
        <v>229</v>
      </c>
      <c r="E41" s="25"/>
      <c r="F41" s="107"/>
    </row>
    <row r="42" spans="1:6" x14ac:dyDescent="0.25">
      <c r="A42" s="25" t="s">
        <v>230</v>
      </c>
      <c r="B42" s="110" t="s">
        <v>224</v>
      </c>
      <c r="C42" s="110" t="s">
        <v>511</v>
      </c>
      <c r="E42" s="25"/>
      <c r="F42" s="107"/>
    </row>
    <row r="43" spans="1:6" ht="61.5" customHeight="1" x14ac:dyDescent="0.25">
      <c r="A43" s="622" t="s">
        <v>231</v>
      </c>
      <c r="B43" s="622"/>
      <c r="C43" s="622"/>
      <c r="D43" s="559"/>
      <c r="E43" s="25"/>
      <c r="F43" s="107"/>
    </row>
    <row r="44" spans="1:6" s="173" customFormat="1" ht="63.75" customHeight="1" x14ac:dyDescent="0.25">
      <c r="E44" s="174"/>
      <c r="F44" s="174"/>
    </row>
    <row r="45" spans="1:6" s="173" customFormat="1" ht="15" customHeight="1" x14ac:dyDescent="0.25">
      <c r="A45"/>
      <c r="B45"/>
      <c r="C45"/>
      <c r="D45"/>
    </row>
  </sheetData>
  <mergeCells count="3">
    <mergeCell ref="A1:C1"/>
    <mergeCell ref="A2:C2"/>
    <mergeCell ref="A43:C43"/>
  </mergeCells>
  <pageMargins left="0.7" right="0.34" top="0.34" bottom="0.75" header="0.3" footer="0.3"/>
  <pageSetup paperSize="9" scale="9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F28"/>
  <sheetViews>
    <sheetView showGridLines="0" zoomScaleNormal="100" zoomScaleSheetLayoutView="100" workbookViewId="0">
      <selection activeCell="D27" sqref="D27"/>
    </sheetView>
  </sheetViews>
  <sheetFormatPr defaultColWidth="9.140625" defaultRowHeight="15" x14ac:dyDescent="0.25"/>
  <cols>
    <col min="1" max="1" width="38.5703125" style="175" customWidth="1"/>
    <col min="2" max="2" width="11.140625" style="175" customWidth="1"/>
    <col min="3" max="3" width="9.140625" style="175"/>
    <col min="4" max="4" width="28.7109375" style="175" customWidth="1"/>
    <col min="5" max="5" width="25.7109375" style="175" customWidth="1"/>
    <col min="6" max="6" width="10.140625" style="175" bestFit="1" customWidth="1"/>
    <col min="7" max="16384" width="9.140625" style="175"/>
  </cols>
  <sheetData>
    <row r="1" spans="1:6" ht="57" customHeight="1" x14ac:dyDescent="0.25">
      <c r="A1" s="624" t="s">
        <v>516</v>
      </c>
      <c r="B1" s="624"/>
      <c r="C1" s="624"/>
      <c r="D1" s="624"/>
      <c r="E1" s="41"/>
      <c r="F1" s="41"/>
    </row>
    <row r="2" spans="1:6" ht="58.5" customHeight="1" x14ac:dyDescent="0.25">
      <c r="A2" s="630" t="s">
        <v>515</v>
      </c>
      <c r="B2" s="630"/>
      <c r="C2" s="630"/>
      <c r="D2" s="630"/>
      <c r="E2" s="39"/>
      <c r="F2" s="39"/>
    </row>
    <row r="3" spans="1:6" x14ac:dyDescent="0.25">
      <c r="A3" s="184"/>
      <c r="B3" s="25"/>
      <c r="C3" s="25"/>
      <c r="D3" s="25"/>
      <c r="E3" s="25"/>
      <c r="F3" s="25"/>
    </row>
    <row r="4" spans="1:6" x14ac:dyDescent="0.25">
      <c r="A4" s="184"/>
      <c r="B4" s="25"/>
      <c r="C4" s="25"/>
      <c r="D4" s="25"/>
      <c r="E4" s="25"/>
      <c r="F4" s="25"/>
    </row>
    <row r="5" spans="1:6" x14ac:dyDescent="0.25">
      <c r="A5" s="25"/>
      <c r="B5" s="25"/>
      <c r="C5" s="25"/>
      <c r="D5" s="25"/>
      <c r="E5" s="25"/>
      <c r="F5" s="25"/>
    </row>
    <row r="6" spans="1:6" s="210" customFormat="1" x14ac:dyDescent="0.25">
      <c r="A6" s="185" t="s">
        <v>513</v>
      </c>
      <c r="B6" s="553"/>
      <c r="C6" s="25"/>
      <c r="D6" s="25"/>
    </row>
    <row r="7" spans="1:6" s="171" customFormat="1" x14ac:dyDescent="0.25">
      <c r="A7" s="186"/>
      <c r="B7" s="186"/>
      <c r="C7" s="145"/>
      <c r="D7" s="145"/>
    </row>
    <row r="8" spans="1:6" s="171" customFormat="1" ht="16.5" x14ac:dyDescent="0.25">
      <c r="A8" s="186" t="s">
        <v>509</v>
      </c>
      <c r="B8" s="187"/>
      <c r="C8" s="533">
        <v>8142</v>
      </c>
      <c r="D8" s="145"/>
    </row>
    <row r="9" spans="1:6" s="171" customFormat="1" x14ac:dyDescent="0.25">
      <c r="A9" s="188" t="s">
        <v>175</v>
      </c>
      <c r="B9" s="189"/>
      <c r="C9" s="534">
        <f>ROUND((C8*0.27),0)</f>
        <v>2198</v>
      </c>
      <c r="D9" s="145"/>
    </row>
    <row r="10" spans="1:6" ht="16.5" x14ac:dyDescent="0.25">
      <c r="A10" s="190" t="s">
        <v>510</v>
      </c>
      <c r="B10" s="191"/>
      <c r="C10" s="535">
        <f>C8+C9</f>
        <v>10340</v>
      </c>
      <c r="D10" s="145"/>
      <c r="E10" s="171"/>
      <c r="F10" s="171"/>
    </row>
    <row r="11" spans="1:6" x14ac:dyDescent="0.25">
      <c r="A11" s="50"/>
      <c r="B11" s="75"/>
      <c r="C11" s="256"/>
      <c r="D11" s="25"/>
    </row>
    <row r="12" spans="1:6" x14ac:dyDescent="0.25">
      <c r="A12" s="106"/>
      <c r="B12" s="107"/>
      <c r="C12" s="256"/>
      <c r="D12" s="108"/>
      <c r="E12" s="107"/>
      <c r="F12" s="107"/>
    </row>
    <row r="13" spans="1:6" x14ac:dyDescent="0.25">
      <c r="A13" s="193" t="s">
        <v>517</v>
      </c>
      <c r="B13" s="42"/>
      <c r="C13" s="200"/>
      <c r="D13" s="194"/>
      <c r="E13" s="42"/>
      <c r="F13" s="107"/>
    </row>
    <row r="14" spans="1:6" x14ac:dyDescent="0.25">
      <c r="A14" s="198" t="s">
        <v>518</v>
      </c>
      <c r="B14" s="195"/>
      <c r="C14" s="536"/>
      <c r="D14" s="560" t="s">
        <v>522</v>
      </c>
      <c r="E14" s="107"/>
    </row>
    <row r="15" spans="1:6" ht="16.5" customHeight="1" x14ac:dyDescent="0.25">
      <c r="A15" s="198" t="s">
        <v>519</v>
      </c>
      <c r="B15" s="42"/>
      <c r="C15" s="536"/>
      <c r="D15" s="560" t="s">
        <v>523</v>
      </c>
      <c r="E15" s="107"/>
    </row>
    <row r="16" spans="1:6" x14ac:dyDescent="0.25">
      <c r="A16" s="198" t="s">
        <v>520</v>
      </c>
      <c r="B16" s="42"/>
      <c r="C16" s="536"/>
      <c r="D16" s="560" t="s">
        <v>524</v>
      </c>
      <c r="E16" s="107"/>
    </row>
    <row r="17" spans="1:6" x14ac:dyDescent="0.25">
      <c r="A17" s="198"/>
      <c r="B17" s="42"/>
      <c r="C17" s="536"/>
      <c r="D17" s="561"/>
      <c r="E17" s="197"/>
      <c r="F17" s="107"/>
    </row>
    <row r="18" spans="1:6" x14ac:dyDescent="0.25">
      <c r="C18" s="272"/>
      <c r="D18" s="562"/>
      <c r="F18" s="107"/>
    </row>
    <row r="19" spans="1:6" s="210" customFormat="1" x14ac:dyDescent="0.25">
      <c r="A19" s="185" t="s">
        <v>513</v>
      </c>
      <c r="C19" s="272"/>
      <c r="D19" s="563"/>
      <c r="F19" s="25"/>
    </row>
    <row r="20" spans="1:6" s="173" customFormat="1" ht="15" customHeight="1" x14ac:dyDescent="0.25">
      <c r="A20" s="25"/>
      <c r="B20" s="25"/>
      <c r="C20" s="204"/>
      <c r="D20" s="558"/>
      <c r="E20" s="25"/>
    </row>
    <row r="21" spans="1:6" ht="16.5" x14ac:dyDescent="0.25">
      <c r="A21" s="186" t="s">
        <v>509</v>
      </c>
      <c r="B21" s="187"/>
      <c r="C21" s="533">
        <v>1650</v>
      </c>
      <c r="D21" s="564"/>
      <c r="E21" s="173"/>
    </row>
    <row r="22" spans="1:6" x14ac:dyDescent="0.25">
      <c r="A22" s="188" t="s">
        <v>175</v>
      </c>
      <c r="B22" s="189"/>
      <c r="C22" s="534">
        <f>ROUND((C21*0.27),0)-1</f>
        <v>445</v>
      </c>
      <c r="D22" s="562"/>
    </row>
    <row r="23" spans="1:6" ht="16.5" x14ac:dyDescent="0.25">
      <c r="A23" s="190" t="s">
        <v>510</v>
      </c>
      <c r="B23" s="94"/>
      <c r="C23" s="535">
        <f>C21+C22</f>
        <v>2095</v>
      </c>
      <c r="D23" s="565"/>
    </row>
    <row r="24" spans="1:6" x14ac:dyDescent="0.25">
      <c r="D24" s="562"/>
    </row>
    <row r="25" spans="1:6" x14ac:dyDescent="0.25">
      <c r="D25" s="562"/>
    </row>
    <row r="26" spans="1:6" x14ac:dyDescent="0.25">
      <c r="A26" s="193" t="s">
        <v>517</v>
      </c>
      <c r="D26" s="562"/>
    </row>
    <row r="27" spans="1:6" x14ac:dyDescent="0.25">
      <c r="A27" s="198" t="s">
        <v>521</v>
      </c>
      <c r="B27" s="42"/>
      <c r="C27" s="196"/>
      <c r="D27" s="560" t="s">
        <v>525</v>
      </c>
    </row>
    <row r="28" spans="1:6" ht="45" customHeight="1" x14ac:dyDescent="0.25">
      <c r="A28" s="671" t="s">
        <v>643</v>
      </c>
      <c r="B28" s="671"/>
      <c r="C28" s="671"/>
      <c r="D28" s="560" t="s">
        <v>526</v>
      </c>
    </row>
  </sheetData>
  <mergeCells count="3">
    <mergeCell ref="A1:D1"/>
    <mergeCell ref="A28:C28"/>
    <mergeCell ref="A2:D2"/>
  </mergeCells>
  <pageMargins left="0.7" right="0.34" top="0.34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pageSetUpPr fitToPage="1"/>
  </sheetPr>
  <dimension ref="A1:F24"/>
  <sheetViews>
    <sheetView showGridLines="0" zoomScaleNormal="100" zoomScaleSheetLayoutView="100" workbookViewId="0">
      <selection activeCell="B24" sqref="B24"/>
    </sheetView>
  </sheetViews>
  <sheetFormatPr defaultColWidth="9.140625" defaultRowHeight="15" x14ac:dyDescent="0.25"/>
  <cols>
    <col min="1" max="1" width="55.42578125" style="210" bestFit="1" customWidth="1"/>
    <col min="2" max="2" width="10.140625" style="210" bestFit="1" customWidth="1"/>
    <col min="3" max="3" width="11.85546875" style="210" customWidth="1"/>
    <col min="4" max="4" width="19.85546875" style="210" customWidth="1"/>
    <col min="5" max="5" width="15.140625" style="210" customWidth="1"/>
    <col min="6" max="6" width="10.140625" style="210" bestFit="1" customWidth="1"/>
    <col min="7" max="16384" width="9.140625" style="210"/>
  </cols>
  <sheetData>
    <row r="1" spans="1:6" ht="38.25" customHeight="1" x14ac:dyDescent="0.25">
      <c r="A1" s="624" t="s">
        <v>232</v>
      </c>
      <c r="B1" s="624"/>
      <c r="C1" s="624"/>
      <c r="D1" s="41"/>
      <c r="E1" s="41"/>
      <c r="F1" s="41"/>
    </row>
    <row r="2" spans="1:6" ht="51" customHeight="1" x14ac:dyDescent="0.25">
      <c r="A2" s="630" t="s">
        <v>514</v>
      </c>
      <c r="B2" s="630"/>
      <c r="C2" s="630"/>
      <c r="D2" s="39"/>
      <c r="E2" s="39"/>
      <c r="F2" s="22"/>
    </row>
    <row r="3" spans="1:6" x14ac:dyDescent="0.25">
      <c r="A3" s="111"/>
      <c r="B3" s="111"/>
      <c r="C3" s="25"/>
      <c r="D3" s="25"/>
      <c r="E3" s="25"/>
      <c r="F3" s="25"/>
    </row>
    <row r="4" spans="1:6" x14ac:dyDescent="0.25">
      <c r="A4" s="111" t="s">
        <v>217</v>
      </c>
      <c r="B4" s="25"/>
      <c r="C4" s="25"/>
    </row>
    <row r="5" spans="1:6" x14ac:dyDescent="0.25">
      <c r="A5" s="25"/>
      <c r="B5" s="25"/>
      <c r="C5" s="145"/>
    </row>
    <row r="6" spans="1:6" x14ac:dyDescent="0.25">
      <c r="A6" s="201" t="s">
        <v>218</v>
      </c>
      <c r="B6" s="481"/>
      <c r="C6" s="25"/>
    </row>
    <row r="7" spans="1:6" x14ac:dyDescent="0.25">
      <c r="A7" s="256"/>
      <c r="B7" s="256"/>
      <c r="C7" s="25"/>
    </row>
    <row r="8" spans="1:6" ht="18" x14ac:dyDescent="0.25">
      <c r="A8" s="25" t="s">
        <v>626</v>
      </c>
      <c r="B8" s="153"/>
      <c r="C8" s="530">
        <v>1885</v>
      </c>
    </row>
    <row r="9" spans="1:6" x14ac:dyDescent="0.25">
      <c r="A9" s="28" t="s">
        <v>175</v>
      </c>
      <c r="B9" s="313"/>
      <c r="C9" s="531">
        <f>ROUND(C8*0.27,0)</f>
        <v>509</v>
      </c>
    </row>
    <row r="10" spans="1:6" ht="17.25" x14ac:dyDescent="0.25">
      <c r="A10" s="50" t="s">
        <v>233</v>
      </c>
      <c r="B10" s="94"/>
      <c r="C10" s="532">
        <f>SUM(C8:C9)</f>
        <v>2394</v>
      </c>
    </row>
    <row r="11" spans="1:6" x14ac:dyDescent="0.25">
      <c r="A11" s="112"/>
      <c r="B11" s="94"/>
      <c r="C11" s="256"/>
    </row>
    <row r="12" spans="1:6" x14ac:dyDescent="0.25">
      <c r="A12" s="112"/>
      <c r="B12" s="94"/>
      <c r="C12" s="256"/>
    </row>
    <row r="13" spans="1:6" x14ac:dyDescent="0.25">
      <c r="A13" s="201" t="s">
        <v>234</v>
      </c>
      <c r="B13" s="256"/>
      <c r="C13" s="256"/>
    </row>
    <row r="14" spans="1:6" x14ac:dyDescent="0.25">
      <c r="A14" s="49"/>
      <c r="B14" s="25"/>
      <c r="C14" s="256"/>
    </row>
    <row r="15" spans="1:6" ht="18" x14ac:dyDescent="0.25">
      <c r="A15" s="25" t="s">
        <v>626</v>
      </c>
      <c r="B15" s="153"/>
      <c r="C15" s="530">
        <v>1992</v>
      </c>
      <c r="D15" s="452"/>
    </row>
    <row r="16" spans="1:6" x14ac:dyDescent="0.25">
      <c r="A16" s="28" t="s">
        <v>175</v>
      </c>
      <c r="B16" s="313"/>
      <c r="C16" s="531">
        <f>ROUND(C15*0.27,0)</f>
        <v>538</v>
      </c>
    </row>
    <row r="17" spans="1:3" ht="17.25" x14ac:dyDescent="0.25">
      <c r="A17" s="50" t="s">
        <v>233</v>
      </c>
      <c r="B17" s="94"/>
      <c r="C17" s="532">
        <f>SUM(C15:C16)</f>
        <v>2530</v>
      </c>
    </row>
    <row r="18" spans="1:3" x14ac:dyDescent="0.25">
      <c r="C18" s="427"/>
    </row>
    <row r="19" spans="1:3" x14ac:dyDescent="0.25">
      <c r="C19" s="427"/>
    </row>
    <row r="20" spans="1:3" x14ac:dyDescent="0.25">
      <c r="A20" s="201" t="s">
        <v>513</v>
      </c>
      <c r="C20" s="427"/>
    </row>
    <row r="21" spans="1:3" x14ac:dyDescent="0.25">
      <c r="A21" s="201"/>
      <c r="C21" s="427"/>
    </row>
    <row r="22" spans="1:3" ht="16.5" x14ac:dyDescent="0.25">
      <c r="A22" s="186" t="s">
        <v>509</v>
      </c>
      <c r="B22" s="187"/>
      <c r="C22" s="530">
        <v>1650</v>
      </c>
    </row>
    <row r="23" spans="1:3" x14ac:dyDescent="0.25">
      <c r="A23" s="188" t="s">
        <v>175</v>
      </c>
      <c r="B23" s="189"/>
      <c r="C23" s="531">
        <f>ROUND((C22*0.27),0)-1</f>
        <v>445</v>
      </c>
    </row>
    <row r="24" spans="1:3" ht="16.5" x14ac:dyDescent="0.25">
      <c r="A24" s="190" t="s">
        <v>510</v>
      </c>
      <c r="B24" s="191"/>
      <c r="C24" s="532">
        <f>C22+C23</f>
        <v>2095</v>
      </c>
    </row>
  </sheetData>
  <mergeCells count="2">
    <mergeCell ref="A2:C2"/>
    <mergeCell ref="A1:C1"/>
  </mergeCells>
  <pageMargins left="0.7" right="0.34" top="0.33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pageSetUpPr fitToPage="1"/>
  </sheetPr>
  <dimension ref="A1:B233"/>
  <sheetViews>
    <sheetView showGridLines="0" zoomScaleNormal="100" zoomScaleSheetLayoutView="100" workbookViewId="0">
      <selection activeCell="D8" sqref="D8"/>
    </sheetView>
  </sheetViews>
  <sheetFormatPr defaultColWidth="9.140625" defaultRowHeight="14.25" x14ac:dyDescent="0.2"/>
  <cols>
    <col min="1" max="1" width="76" style="113" customWidth="1"/>
    <col min="2" max="2" width="27.28515625" style="113" customWidth="1"/>
    <col min="3" max="16384" width="9.140625" style="113"/>
  </cols>
  <sheetData>
    <row r="1" spans="1:2" ht="33.75" customHeight="1" x14ac:dyDescent="0.2">
      <c r="A1" s="587" t="s">
        <v>434</v>
      </c>
      <c r="B1" s="588"/>
    </row>
    <row r="2" spans="1:2" ht="51.75" customHeight="1" x14ac:dyDescent="0.2">
      <c r="A2" s="589" t="s">
        <v>235</v>
      </c>
      <c r="B2" s="588"/>
    </row>
    <row r="3" spans="1:2" ht="15" x14ac:dyDescent="0.2">
      <c r="A3" s="588" t="s">
        <v>236</v>
      </c>
      <c r="B3" s="588"/>
    </row>
    <row r="4" spans="1:2" ht="15" x14ac:dyDescent="0.2">
      <c r="A4" s="588"/>
      <c r="B4" s="588"/>
    </row>
    <row r="5" spans="1:2" ht="21" customHeight="1" x14ac:dyDescent="0.2">
      <c r="A5" s="590" t="s">
        <v>237</v>
      </c>
      <c r="B5" s="588"/>
    </row>
    <row r="6" spans="1:2" ht="22.5" customHeight="1" x14ac:dyDescent="0.2">
      <c r="A6" s="591" t="s">
        <v>238</v>
      </c>
      <c r="B6" s="592" t="s">
        <v>953</v>
      </c>
    </row>
    <row r="7" spans="1:2" ht="15" x14ac:dyDescent="0.2">
      <c r="A7" s="593"/>
      <c r="B7" s="592"/>
    </row>
    <row r="8" spans="1:2" ht="15" x14ac:dyDescent="0.2">
      <c r="A8" s="594" t="s">
        <v>239</v>
      </c>
      <c r="B8" s="595">
        <v>960</v>
      </c>
    </row>
    <row r="9" spans="1:2" ht="15" x14ac:dyDescent="0.2">
      <c r="A9" s="596" t="s">
        <v>240</v>
      </c>
      <c r="B9" s="595">
        <v>460</v>
      </c>
    </row>
    <row r="10" spans="1:2" ht="15" x14ac:dyDescent="0.2">
      <c r="A10" s="596" t="s">
        <v>241</v>
      </c>
      <c r="B10" s="595">
        <v>1150</v>
      </c>
    </row>
    <row r="11" spans="1:2" ht="15" x14ac:dyDescent="0.2">
      <c r="A11" s="596" t="s">
        <v>242</v>
      </c>
      <c r="B11" s="595">
        <v>1550</v>
      </c>
    </row>
    <row r="12" spans="1:2" ht="15" x14ac:dyDescent="0.2">
      <c r="A12" s="596" t="s">
        <v>222</v>
      </c>
      <c r="B12" s="595">
        <v>750</v>
      </c>
    </row>
    <row r="13" spans="1:2" ht="15" x14ac:dyDescent="0.2">
      <c r="A13" s="596" t="s">
        <v>243</v>
      </c>
      <c r="B13" s="595">
        <v>1730</v>
      </c>
    </row>
    <row r="14" spans="1:2" ht="15" x14ac:dyDescent="0.2">
      <c r="A14" s="596" t="s">
        <v>469</v>
      </c>
      <c r="B14" s="595">
        <v>1730</v>
      </c>
    </row>
    <row r="15" spans="1:2" ht="15" x14ac:dyDescent="0.2">
      <c r="A15" s="596" t="s">
        <v>244</v>
      </c>
      <c r="B15" s="595">
        <v>1430</v>
      </c>
    </row>
    <row r="16" spans="1:2" ht="15" x14ac:dyDescent="0.2">
      <c r="A16" s="596" t="s">
        <v>245</v>
      </c>
      <c r="B16" s="595">
        <v>1430</v>
      </c>
    </row>
    <row r="17" spans="1:2" ht="15" x14ac:dyDescent="0.2">
      <c r="A17" s="596" t="s">
        <v>470</v>
      </c>
      <c r="B17" s="595">
        <v>870</v>
      </c>
    </row>
    <row r="18" spans="1:2" ht="15" x14ac:dyDescent="0.2">
      <c r="A18" s="596" t="s">
        <v>471</v>
      </c>
      <c r="B18" s="595">
        <v>870</v>
      </c>
    </row>
    <row r="19" spans="1:2" ht="15" x14ac:dyDescent="0.2">
      <c r="A19" s="596" t="s">
        <v>246</v>
      </c>
      <c r="B19" s="595">
        <v>1730</v>
      </c>
    </row>
    <row r="20" spans="1:2" ht="15" x14ac:dyDescent="0.2">
      <c r="A20" s="596" t="s">
        <v>247</v>
      </c>
      <c r="B20" s="595">
        <v>1730</v>
      </c>
    </row>
    <row r="21" spans="1:2" ht="15" x14ac:dyDescent="0.2">
      <c r="A21" s="596" t="s">
        <v>248</v>
      </c>
      <c r="B21" s="595">
        <v>1730</v>
      </c>
    </row>
    <row r="22" spans="1:2" ht="15" x14ac:dyDescent="0.2">
      <c r="A22" s="596" t="s">
        <v>249</v>
      </c>
      <c r="B22" s="595">
        <v>1510</v>
      </c>
    </row>
    <row r="23" spans="1:2" ht="15" x14ac:dyDescent="0.2">
      <c r="A23" s="596" t="s">
        <v>250</v>
      </c>
      <c r="B23" s="595">
        <v>5540</v>
      </c>
    </row>
    <row r="24" spans="1:2" ht="15" x14ac:dyDescent="0.2">
      <c r="A24" s="596" t="s">
        <v>251</v>
      </c>
      <c r="B24" s="595">
        <v>3440</v>
      </c>
    </row>
    <row r="25" spans="1:2" ht="15" x14ac:dyDescent="0.2">
      <c r="A25" s="596" t="s">
        <v>252</v>
      </c>
      <c r="B25" s="595">
        <v>2160</v>
      </c>
    </row>
    <row r="26" spans="1:2" ht="15" x14ac:dyDescent="0.2">
      <c r="A26" s="596" t="s">
        <v>253</v>
      </c>
      <c r="B26" s="595">
        <v>2250</v>
      </c>
    </row>
    <row r="27" spans="1:2" ht="15" x14ac:dyDescent="0.2">
      <c r="A27" s="596" t="s">
        <v>254</v>
      </c>
      <c r="B27" s="595">
        <v>1900</v>
      </c>
    </row>
    <row r="28" spans="1:2" ht="15" x14ac:dyDescent="0.2">
      <c r="A28" s="596" t="s">
        <v>255</v>
      </c>
      <c r="B28" s="595">
        <v>2260</v>
      </c>
    </row>
    <row r="29" spans="1:2" ht="15" x14ac:dyDescent="0.2">
      <c r="A29" s="596" t="s">
        <v>256</v>
      </c>
      <c r="B29" s="595">
        <v>2260</v>
      </c>
    </row>
    <row r="30" spans="1:2" ht="15" x14ac:dyDescent="0.2">
      <c r="A30" s="596" t="s">
        <v>257</v>
      </c>
      <c r="B30" s="595">
        <v>2260</v>
      </c>
    </row>
    <row r="31" spans="1:2" ht="15" x14ac:dyDescent="0.2">
      <c r="A31" s="596" t="s">
        <v>258</v>
      </c>
      <c r="B31" s="595">
        <v>2260</v>
      </c>
    </row>
    <row r="32" spans="1:2" ht="15" x14ac:dyDescent="0.2">
      <c r="A32" s="596" t="s">
        <v>259</v>
      </c>
      <c r="B32" s="595">
        <v>2260</v>
      </c>
    </row>
    <row r="33" spans="1:2" ht="15" x14ac:dyDescent="0.2">
      <c r="A33" s="596" t="s">
        <v>260</v>
      </c>
      <c r="B33" s="595">
        <v>2260</v>
      </c>
    </row>
    <row r="34" spans="1:2" ht="15" x14ac:dyDescent="0.2">
      <c r="A34" s="596" t="s">
        <v>261</v>
      </c>
      <c r="B34" s="595">
        <v>2260</v>
      </c>
    </row>
    <row r="35" spans="1:2" ht="15" x14ac:dyDescent="0.2">
      <c r="A35" s="596" t="s">
        <v>262</v>
      </c>
      <c r="B35" s="595">
        <v>2260</v>
      </c>
    </row>
    <row r="36" spans="1:2" ht="15" x14ac:dyDescent="0.2">
      <c r="A36" s="596" t="s">
        <v>263</v>
      </c>
      <c r="B36" s="595">
        <v>2260</v>
      </c>
    </row>
    <row r="37" spans="1:2" ht="15" x14ac:dyDescent="0.2">
      <c r="A37" s="596" t="s">
        <v>266</v>
      </c>
      <c r="B37" s="595">
        <v>2260</v>
      </c>
    </row>
    <row r="38" spans="1:2" ht="15" x14ac:dyDescent="0.2">
      <c r="A38" s="596" t="s">
        <v>267</v>
      </c>
      <c r="B38" s="595">
        <v>2260</v>
      </c>
    </row>
    <row r="39" spans="1:2" ht="15" x14ac:dyDescent="0.2">
      <c r="A39" s="597" t="s">
        <v>270</v>
      </c>
      <c r="B39" s="595">
        <v>2260</v>
      </c>
    </row>
    <row r="40" spans="1:2" ht="15" x14ac:dyDescent="0.2">
      <c r="A40" s="596" t="s">
        <v>273</v>
      </c>
      <c r="B40" s="595">
        <v>2260</v>
      </c>
    </row>
    <row r="41" spans="1:2" ht="15" x14ac:dyDescent="0.2">
      <c r="A41" s="596" t="s">
        <v>275</v>
      </c>
      <c r="B41" s="595">
        <v>2260</v>
      </c>
    </row>
    <row r="42" spans="1:2" ht="15" x14ac:dyDescent="0.2">
      <c r="A42" s="596" t="s">
        <v>276</v>
      </c>
      <c r="B42" s="595">
        <v>2260</v>
      </c>
    </row>
    <row r="43" spans="1:2" ht="15" x14ac:dyDescent="0.2">
      <c r="A43" s="596" t="s">
        <v>277</v>
      </c>
      <c r="B43" s="595">
        <v>2260</v>
      </c>
    </row>
    <row r="44" spans="1:2" ht="15" x14ac:dyDescent="0.2">
      <c r="A44" s="596" t="s">
        <v>472</v>
      </c>
      <c r="B44" s="595">
        <v>2260</v>
      </c>
    </row>
    <row r="45" spans="1:2" ht="15" x14ac:dyDescent="0.2">
      <c r="A45" s="596" t="s">
        <v>272</v>
      </c>
      <c r="B45" s="595">
        <v>2260</v>
      </c>
    </row>
    <row r="46" spans="1:2" ht="15" x14ac:dyDescent="0.2">
      <c r="A46" s="597" t="s">
        <v>268</v>
      </c>
      <c r="B46" s="595">
        <v>4330</v>
      </c>
    </row>
    <row r="47" spans="1:2" ht="15" x14ac:dyDescent="0.2">
      <c r="A47" s="597" t="s">
        <v>269</v>
      </c>
      <c r="B47" s="595">
        <v>4330</v>
      </c>
    </row>
    <row r="48" spans="1:2" ht="15" x14ac:dyDescent="0.2">
      <c r="A48" s="596" t="s">
        <v>264</v>
      </c>
      <c r="B48" s="595">
        <v>4330</v>
      </c>
    </row>
    <row r="49" spans="1:2" ht="15" x14ac:dyDescent="0.2">
      <c r="A49" s="596" t="s">
        <v>265</v>
      </c>
      <c r="B49" s="595">
        <v>4330</v>
      </c>
    </row>
    <row r="50" spans="1:2" ht="15" x14ac:dyDescent="0.2">
      <c r="A50" s="597" t="s">
        <v>271</v>
      </c>
      <c r="B50" s="595">
        <v>4330</v>
      </c>
    </row>
    <row r="51" spans="1:2" ht="15" x14ac:dyDescent="0.2">
      <c r="A51" s="596" t="s">
        <v>274</v>
      </c>
      <c r="B51" s="595">
        <v>4330</v>
      </c>
    </row>
    <row r="52" spans="1:2" ht="15" x14ac:dyDescent="0.2">
      <c r="A52" s="596" t="s">
        <v>473</v>
      </c>
      <c r="B52" s="595">
        <v>1035</v>
      </c>
    </row>
    <row r="53" spans="1:2" ht="15" x14ac:dyDescent="0.2">
      <c r="A53" s="596" t="s">
        <v>474</v>
      </c>
      <c r="B53" s="595">
        <v>1035</v>
      </c>
    </row>
    <row r="54" spans="1:2" ht="15" x14ac:dyDescent="0.2">
      <c r="A54" s="598" t="s">
        <v>278</v>
      </c>
      <c r="B54" s="595">
        <v>3490</v>
      </c>
    </row>
    <row r="55" spans="1:2" ht="15" x14ac:dyDescent="0.2">
      <c r="A55" s="596" t="s">
        <v>279</v>
      </c>
      <c r="B55" s="595">
        <v>1650</v>
      </c>
    </row>
    <row r="56" spans="1:2" ht="15" x14ac:dyDescent="0.2">
      <c r="A56" s="596" t="s">
        <v>641</v>
      </c>
      <c r="B56" s="595">
        <v>1650</v>
      </c>
    </row>
    <row r="57" spans="1:2" ht="15" x14ac:dyDescent="0.2">
      <c r="A57" s="596" t="s">
        <v>280</v>
      </c>
      <c r="B57" s="595">
        <v>2640</v>
      </c>
    </row>
    <row r="58" spans="1:2" ht="15" x14ac:dyDescent="0.2">
      <c r="A58" s="596" t="s">
        <v>281</v>
      </c>
      <c r="B58" s="595">
        <v>3880</v>
      </c>
    </row>
    <row r="59" spans="1:2" ht="15" x14ac:dyDescent="0.2">
      <c r="A59" s="596" t="s">
        <v>282</v>
      </c>
      <c r="B59" s="595">
        <v>2310</v>
      </c>
    </row>
    <row r="60" spans="1:2" ht="15" x14ac:dyDescent="0.2">
      <c r="A60" s="596" t="s">
        <v>283</v>
      </c>
      <c r="B60" s="595">
        <v>1035</v>
      </c>
    </row>
    <row r="61" spans="1:2" ht="15" x14ac:dyDescent="0.2">
      <c r="A61" s="596" t="s">
        <v>284</v>
      </c>
      <c r="B61" s="595">
        <v>1900</v>
      </c>
    </row>
    <row r="62" spans="1:2" ht="15" x14ac:dyDescent="0.2">
      <c r="A62" s="596" t="s">
        <v>285</v>
      </c>
      <c r="B62" s="595">
        <v>1100</v>
      </c>
    </row>
    <row r="63" spans="1:2" ht="15" x14ac:dyDescent="0.2">
      <c r="A63" s="596" t="s">
        <v>286</v>
      </c>
      <c r="B63" s="595">
        <v>1100</v>
      </c>
    </row>
    <row r="64" spans="1:2" ht="15" x14ac:dyDescent="0.2">
      <c r="A64" s="596" t="s">
        <v>287</v>
      </c>
      <c r="B64" s="595">
        <v>3590</v>
      </c>
    </row>
    <row r="65" spans="1:2" ht="15" x14ac:dyDescent="0.2">
      <c r="A65" s="596" t="s">
        <v>288</v>
      </c>
      <c r="B65" s="595">
        <v>1035</v>
      </c>
    </row>
    <row r="66" spans="1:2" ht="15" x14ac:dyDescent="0.2">
      <c r="A66" s="596" t="s">
        <v>289</v>
      </c>
      <c r="B66" s="595">
        <v>1080</v>
      </c>
    </row>
    <row r="67" spans="1:2" ht="15" x14ac:dyDescent="0.2">
      <c r="A67" s="596" t="s">
        <v>290</v>
      </c>
      <c r="B67" s="595">
        <v>1080</v>
      </c>
    </row>
    <row r="68" spans="1:2" ht="15" x14ac:dyDescent="0.2">
      <c r="A68" s="596" t="s">
        <v>291</v>
      </c>
      <c r="B68" s="595">
        <v>2320</v>
      </c>
    </row>
    <row r="69" spans="1:2" ht="15" x14ac:dyDescent="0.2">
      <c r="A69" s="597" t="s">
        <v>475</v>
      </c>
      <c r="B69" s="595">
        <v>4190</v>
      </c>
    </row>
    <row r="70" spans="1:2" ht="15" x14ac:dyDescent="0.2">
      <c r="A70" s="597" t="s">
        <v>476</v>
      </c>
      <c r="B70" s="595">
        <v>5690</v>
      </c>
    </row>
    <row r="71" spans="1:2" ht="15" x14ac:dyDescent="0.2">
      <c r="A71" s="597" t="s">
        <v>293</v>
      </c>
      <c r="B71" s="595">
        <v>5690</v>
      </c>
    </row>
    <row r="72" spans="1:2" ht="15" x14ac:dyDescent="0.2">
      <c r="A72" s="597" t="s">
        <v>294</v>
      </c>
      <c r="B72" s="595">
        <v>5690</v>
      </c>
    </row>
    <row r="73" spans="1:2" ht="15" x14ac:dyDescent="0.2">
      <c r="A73" s="597" t="s">
        <v>295</v>
      </c>
      <c r="B73" s="595">
        <v>2080</v>
      </c>
    </row>
    <row r="74" spans="1:2" ht="15" x14ac:dyDescent="0.2">
      <c r="A74" s="597" t="s">
        <v>296</v>
      </c>
      <c r="B74" s="595">
        <v>2080</v>
      </c>
    </row>
    <row r="75" spans="1:2" ht="15" x14ac:dyDescent="0.2">
      <c r="A75" s="597" t="s">
        <v>477</v>
      </c>
      <c r="B75" s="595">
        <v>570</v>
      </c>
    </row>
    <row r="76" spans="1:2" ht="15" x14ac:dyDescent="0.2">
      <c r="A76" s="597" t="s">
        <v>297</v>
      </c>
      <c r="B76" s="595">
        <v>1390</v>
      </c>
    </row>
    <row r="77" spans="1:2" ht="15" x14ac:dyDescent="0.2">
      <c r="A77" s="599" t="s">
        <v>298</v>
      </c>
      <c r="B77" s="595">
        <v>2080</v>
      </c>
    </row>
    <row r="78" spans="1:2" ht="15" x14ac:dyDescent="0.2">
      <c r="A78" s="599" t="s">
        <v>299</v>
      </c>
      <c r="B78" s="595">
        <v>11220</v>
      </c>
    </row>
    <row r="79" spans="1:2" ht="15" x14ac:dyDescent="0.2">
      <c r="A79" s="600" t="s">
        <v>348</v>
      </c>
      <c r="B79" s="595">
        <v>11330</v>
      </c>
    </row>
    <row r="80" spans="1:2" ht="15" x14ac:dyDescent="0.2">
      <c r="A80" s="597" t="s">
        <v>300</v>
      </c>
      <c r="B80" s="595">
        <v>2550</v>
      </c>
    </row>
    <row r="81" spans="1:2" ht="15" x14ac:dyDescent="0.2">
      <c r="A81" s="597" t="s">
        <v>301</v>
      </c>
      <c r="B81" s="595">
        <v>2550</v>
      </c>
    </row>
    <row r="82" spans="1:2" ht="15" x14ac:dyDescent="0.2">
      <c r="A82" s="597" t="s">
        <v>302</v>
      </c>
      <c r="B82" s="595">
        <v>2550</v>
      </c>
    </row>
    <row r="83" spans="1:2" ht="15" x14ac:dyDescent="0.2">
      <c r="A83" s="597" t="s">
        <v>954</v>
      </c>
      <c r="B83" s="595">
        <v>4200</v>
      </c>
    </row>
    <row r="84" spans="1:2" ht="15" x14ac:dyDescent="0.2">
      <c r="A84" s="597" t="s">
        <v>303</v>
      </c>
      <c r="B84" s="595">
        <v>2550</v>
      </c>
    </row>
    <row r="85" spans="1:2" ht="15" x14ac:dyDescent="0.2">
      <c r="A85" s="597" t="s">
        <v>304</v>
      </c>
      <c r="B85" s="595">
        <v>2550</v>
      </c>
    </row>
    <row r="86" spans="1:2" ht="15" x14ac:dyDescent="0.2">
      <c r="A86" s="597" t="s">
        <v>955</v>
      </c>
      <c r="B86" s="595">
        <v>4200</v>
      </c>
    </row>
    <row r="87" spans="1:2" ht="15" customHeight="1" x14ac:dyDescent="0.2">
      <c r="A87" s="597" t="s">
        <v>305</v>
      </c>
      <c r="B87" s="595">
        <v>2550</v>
      </c>
    </row>
    <row r="88" spans="1:2" ht="15" x14ac:dyDescent="0.2">
      <c r="A88" s="597" t="s">
        <v>306</v>
      </c>
      <c r="B88" s="595">
        <v>2550</v>
      </c>
    </row>
    <row r="89" spans="1:2" ht="15" x14ac:dyDescent="0.2">
      <c r="A89" s="597" t="s">
        <v>307</v>
      </c>
      <c r="B89" s="595">
        <v>2550</v>
      </c>
    </row>
    <row r="90" spans="1:2" ht="15" x14ac:dyDescent="0.2">
      <c r="A90" s="597" t="s">
        <v>956</v>
      </c>
      <c r="B90" s="595">
        <v>4200</v>
      </c>
    </row>
    <row r="91" spans="1:2" ht="15" x14ac:dyDescent="0.2">
      <c r="A91" s="601" t="s">
        <v>308</v>
      </c>
      <c r="B91" s="595">
        <v>4530</v>
      </c>
    </row>
    <row r="92" spans="1:2" ht="15" x14ac:dyDescent="0.2">
      <c r="A92" s="597" t="s">
        <v>478</v>
      </c>
      <c r="B92" s="595">
        <v>2550</v>
      </c>
    </row>
    <row r="93" spans="1:2" ht="15" x14ac:dyDescent="0.2">
      <c r="A93" s="597" t="s">
        <v>479</v>
      </c>
      <c r="B93" s="595">
        <v>2550</v>
      </c>
    </row>
    <row r="94" spans="1:2" ht="15" x14ac:dyDescent="0.2">
      <c r="A94" s="597" t="s">
        <v>480</v>
      </c>
      <c r="B94" s="595">
        <v>8500</v>
      </c>
    </row>
    <row r="95" spans="1:2" ht="15" x14ac:dyDescent="0.2">
      <c r="A95" s="597" t="s">
        <v>309</v>
      </c>
      <c r="B95" s="595">
        <v>5390</v>
      </c>
    </row>
    <row r="96" spans="1:2" ht="15" x14ac:dyDescent="0.2">
      <c r="A96" s="597" t="s">
        <v>481</v>
      </c>
      <c r="B96" s="595">
        <v>22660</v>
      </c>
    </row>
    <row r="97" spans="1:2" ht="15" x14ac:dyDescent="0.2">
      <c r="A97" s="597" t="s">
        <v>311</v>
      </c>
      <c r="B97" s="595">
        <v>20390</v>
      </c>
    </row>
    <row r="98" spans="1:2" ht="15" x14ac:dyDescent="0.2">
      <c r="A98" s="597" t="s">
        <v>312</v>
      </c>
      <c r="B98" s="595">
        <v>29100</v>
      </c>
    </row>
    <row r="99" spans="1:2" ht="15" x14ac:dyDescent="0.2">
      <c r="A99" s="597" t="s">
        <v>313</v>
      </c>
      <c r="B99" s="595">
        <v>11330</v>
      </c>
    </row>
    <row r="100" spans="1:2" ht="15" x14ac:dyDescent="0.2">
      <c r="A100" s="597" t="s">
        <v>482</v>
      </c>
      <c r="B100" s="595">
        <v>39650</v>
      </c>
    </row>
    <row r="101" spans="1:2" ht="15" x14ac:dyDescent="0.2">
      <c r="A101" s="602"/>
      <c r="B101" s="603"/>
    </row>
    <row r="102" spans="1:2" ht="15" x14ac:dyDescent="0.2">
      <c r="A102" s="604" t="s">
        <v>314</v>
      </c>
      <c r="B102" s="603"/>
    </row>
    <row r="103" spans="1:2" ht="15" x14ac:dyDescent="0.2">
      <c r="A103" s="591" t="s">
        <v>238</v>
      </c>
      <c r="B103" s="592" t="s">
        <v>953</v>
      </c>
    </row>
    <row r="104" spans="1:2" ht="15" x14ac:dyDescent="0.2">
      <c r="A104" s="597" t="s">
        <v>240</v>
      </c>
      <c r="B104" s="595">
        <v>450</v>
      </c>
    </row>
    <row r="105" spans="1:2" ht="15" x14ac:dyDescent="0.2">
      <c r="A105" s="605" t="s">
        <v>222</v>
      </c>
      <c r="B105" s="595">
        <v>970</v>
      </c>
    </row>
    <row r="106" spans="1:2" ht="15" x14ac:dyDescent="0.2">
      <c r="A106" s="596" t="s">
        <v>241</v>
      </c>
      <c r="B106" s="595">
        <v>1470</v>
      </c>
    </row>
    <row r="107" spans="1:2" ht="15" x14ac:dyDescent="0.2">
      <c r="A107" s="597" t="s">
        <v>315</v>
      </c>
      <c r="B107" s="595">
        <v>1915</v>
      </c>
    </row>
    <row r="108" spans="1:2" ht="15" x14ac:dyDescent="0.2">
      <c r="A108" s="597" t="s">
        <v>483</v>
      </c>
      <c r="B108" s="595">
        <v>1915</v>
      </c>
    </row>
    <row r="109" spans="1:2" ht="15" x14ac:dyDescent="0.2">
      <c r="A109" s="597" t="s">
        <v>316</v>
      </c>
      <c r="B109" s="595">
        <v>1915</v>
      </c>
    </row>
    <row r="110" spans="1:2" ht="15" x14ac:dyDescent="0.2">
      <c r="A110" s="597" t="s">
        <v>484</v>
      </c>
      <c r="B110" s="595">
        <v>1915</v>
      </c>
    </row>
    <row r="111" spans="1:2" ht="15" x14ac:dyDescent="0.2">
      <c r="A111" s="597" t="s">
        <v>485</v>
      </c>
      <c r="B111" s="595">
        <v>1900</v>
      </c>
    </row>
    <row r="112" spans="1:2" ht="15" x14ac:dyDescent="0.2">
      <c r="A112" s="597" t="s">
        <v>486</v>
      </c>
      <c r="B112" s="595">
        <v>1900</v>
      </c>
    </row>
    <row r="113" spans="1:2" ht="15" x14ac:dyDescent="0.2">
      <c r="A113" s="597" t="s">
        <v>487</v>
      </c>
      <c r="B113" s="595">
        <v>1900</v>
      </c>
    </row>
    <row r="114" spans="1:2" ht="15" x14ac:dyDescent="0.2">
      <c r="A114" s="597" t="s">
        <v>488</v>
      </c>
      <c r="B114" s="595">
        <v>1915</v>
      </c>
    </row>
    <row r="115" spans="1:2" ht="15" x14ac:dyDescent="0.2">
      <c r="A115" s="597" t="s">
        <v>352</v>
      </c>
      <c r="B115" s="595">
        <v>1900</v>
      </c>
    </row>
    <row r="116" spans="1:2" ht="15" x14ac:dyDescent="0.2">
      <c r="A116" s="597" t="s">
        <v>317</v>
      </c>
      <c r="B116" s="595">
        <v>1375</v>
      </c>
    </row>
    <row r="117" spans="1:2" ht="15" x14ac:dyDescent="0.2">
      <c r="A117" s="597" t="s">
        <v>318</v>
      </c>
      <c r="B117" s="595">
        <v>1035</v>
      </c>
    </row>
    <row r="118" spans="1:2" ht="15" x14ac:dyDescent="0.2">
      <c r="A118" s="597" t="s">
        <v>242</v>
      </c>
      <c r="B118" s="595">
        <v>2270</v>
      </c>
    </row>
    <row r="119" spans="1:2" ht="15" x14ac:dyDescent="0.2">
      <c r="A119" s="597" t="s">
        <v>319</v>
      </c>
      <c r="B119" s="595">
        <v>4530</v>
      </c>
    </row>
    <row r="120" spans="1:2" ht="15" x14ac:dyDescent="0.2">
      <c r="A120" s="597" t="s">
        <v>320</v>
      </c>
      <c r="B120" s="595">
        <v>1290</v>
      </c>
    </row>
    <row r="121" spans="1:2" ht="15" x14ac:dyDescent="0.2">
      <c r="A121" s="597" t="s">
        <v>489</v>
      </c>
      <c r="B121" s="595">
        <v>1120</v>
      </c>
    </row>
    <row r="122" spans="1:2" ht="15" x14ac:dyDescent="0.2">
      <c r="A122" s="597" t="s">
        <v>490</v>
      </c>
      <c r="B122" s="595">
        <v>1120</v>
      </c>
    </row>
    <row r="123" spans="1:2" ht="15" x14ac:dyDescent="0.2">
      <c r="A123" s="597" t="s">
        <v>247</v>
      </c>
      <c r="B123" s="595">
        <v>1900</v>
      </c>
    </row>
    <row r="124" spans="1:2" ht="15" x14ac:dyDescent="0.2">
      <c r="A124" s="597" t="s">
        <v>246</v>
      </c>
      <c r="B124" s="595">
        <v>1900</v>
      </c>
    </row>
    <row r="125" spans="1:2" ht="15" x14ac:dyDescent="0.2">
      <c r="A125" s="597" t="s">
        <v>248</v>
      </c>
      <c r="B125" s="595">
        <v>1900</v>
      </c>
    </row>
    <row r="126" spans="1:2" ht="15" x14ac:dyDescent="0.2">
      <c r="A126" s="597" t="s">
        <v>249</v>
      </c>
      <c r="B126" s="595">
        <v>1900</v>
      </c>
    </row>
    <row r="127" spans="1:2" ht="15" x14ac:dyDescent="0.2">
      <c r="A127" s="597" t="s">
        <v>252</v>
      </c>
      <c r="B127" s="595">
        <v>1900</v>
      </c>
    </row>
    <row r="128" spans="1:2" ht="15" x14ac:dyDescent="0.2">
      <c r="A128" s="597" t="s">
        <v>321</v>
      </c>
      <c r="B128" s="595">
        <v>2260</v>
      </c>
    </row>
    <row r="129" spans="1:2" ht="15" x14ac:dyDescent="0.2">
      <c r="A129" s="597" t="s">
        <v>491</v>
      </c>
      <c r="B129" s="595">
        <v>5890</v>
      </c>
    </row>
    <row r="130" spans="1:2" ht="15" x14ac:dyDescent="0.2">
      <c r="A130" s="597" t="s">
        <v>322</v>
      </c>
      <c r="B130" s="595">
        <v>680</v>
      </c>
    </row>
    <row r="131" spans="1:2" ht="15" x14ac:dyDescent="0.2">
      <c r="A131" s="599" t="s">
        <v>492</v>
      </c>
      <c r="B131" s="595">
        <v>680</v>
      </c>
    </row>
    <row r="132" spans="1:2" ht="15" x14ac:dyDescent="0.2">
      <c r="A132" s="597" t="s">
        <v>323</v>
      </c>
      <c r="B132" s="595">
        <v>5160</v>
      </c>
    </row>
    <row r="133" spans="1:2" ht="15" x14ac:dyDescent="0.2">
      <c r="A133" s="597" t="s">
        <v>254</v>
      </c>
      <c r="B133" s="595">
        <v>1900</v>
      </c>
    </row>
    <row r="134" spans="1:2" ht="15" x14ac:dyDescent="0.2">
      <c r="A134" s="597" t="s">
        <v>251</v>
      </c>
      <c r="B134" s="595">
        <v>5160</v>
      </c>
    </row>
    <row r="135" spans="1:2" ht="15" x14ac:dyDescent="0.2">
      <c r="A135" s="605" t="s">
        <v>250</v>
      </c>
      <c r="B135" s="595">
        <v>5160</v>
      </c>
    </row>
    <row r="136" spans="1:2" ht="15" x14ac:dyDescent="0.2">
      <c r="A136" s="597" t="s">
        <v>324</v>
      </c>
      <c r="B136" s="595">
        <v>2700</v>
      </c>
    </row>
    <row r="137" spans="1:2" ht="15" x14ac:dyDescent="0.2">
      <c r="A137" s="597" t="s">
        <v>325</v>
      </c>
      <c r="B137" s="595">
        <v>2700</v>
      </c>
    </row>
    <row r="138" spans="1:2" ht="15" x14ac:dyDescent="0.2">
      <c r="A138" s="597" t="s">
        <v>326</v>
      </c>
      <c r="B138" s="595">
        <v>2700</v>
      </c>
    </row>
    <row r="139" spans="1:2" ht="15" x14ac:dyDescent="0.2">
      <c r="A139" s="597" t="s">
        <v>327</v>
      </c>
      <c r="B139" s="595">
        <v>2700</v>
      </c>
    </row>
    <row r="140" spans="1:2" ht="15" x14ac:dyDescent="0.2">
      <c r="A140" s="597" t="s">
        <v>328</v>
      </c>
      <c r="B140" s="595">
        <v>2700</v>
      </c>
    </row>
    <row r="141" spans="1:2" ht="15" x14ac:dyDescent="0.2">
      <c r="A141" s="597" t="s">
        <v>329</v>
      </c>
      <c r="B141" s="595">
        <v>2700</v>
      </c>
    </row>
    <row r="142" spans="1:2" ht="15" x14ac:dyDescent="0.2">
      <c r="A142" s="597" t="s">
        <v>261</v>
      </c>
      <c r="B142" s="595">
        <v>2700</v>
      </c>
    </row>
    <row r="143" spans="1:2" ht="15" x14ac:dyDescent="0.2">
      <c r="A143" s="597" t="s">
        <v>270</v>
      </c>
      <c r="B143" s="595">
        <v>2700</v>
      </c>
    </row>
    <row r="144" spans="1:2" ht="15" x14ac:dyDescent="0.2">
      <c r="A144" s="597" t="s">
        <v>330</v>
      </c>
      <c r="B144" s="595">
        <v>2700</v>
      </c>
    </row>
    <row r="145" spans="1:2" ht="15" x14ac:dyDescent="0.2">
      <c r="A145" s="597" t="s">
        <v>331</v>
      </c>
      <c r="B145" s="595">
        <v>2700</v>
      </c>
    </row>
    <row r="146" spans="1:2" ht="15" x14ac:dyDescent="0.2">
      <c r="A146" s="597" t="s">
        <v>332</v>
      </c>
      <c r="B146" s="595">
        <v>2700</v>
      </c>
    </row>
    <row r="147" spans="1:2" ht="15" x14ac:dyDescent="0.2">
      <c r="A147" s="597" t="s">
        <v>333</v>
      </c>
      <c r="B147" s="595">
        <v>2700</v>
      </c>
    </row>
    <row r="148" spans="1:2" ht="15" x14ac:dyDescent="0.2">
      <c r="A148" s="597" t="s">
        <v>334</v>
      </c>
      <c r="B148" s="595">
        <v>2700</v>
      </c>
    </row>
    <row r="149" spans="1:2" ht="15" x14ac:dyDescent="0.2">
      <c r="A149" s="597" t="s">
        <v>335</v>
      </c>
      <c r="B149" s="595">
        <v>2700</v>
      </c>
    </row>
    <row r="150" spans="1:2" ht="15" x14ac:dyDescent="0.2">
      <c r="A150" s="597" t="s">
        <v>336</v>
      </c>
      <c r="B150" s="595">
        <v>2700</v>
      </c>
    </row>
    <row r="151" spans="1:2" ht="15" x14ac:dyDescent="0.2">
      <c r="A151" s="597" t="s">
        <v>472</v>
      </c>
      <c r="B151" s="595">
        <v>2700</v>
      </c>
    </row>
    <row r="152" spans="1:2" ht="15" x14ac:dyDescent="0.2">
      <c r="A152" s="597" t="s">
        <v>343</v>
      </c>
      <c r="B152" s="595">
        <v>2700</v>
      </c>
    </row>
    <row r="153" spans="1:2" ht="15" x14ac:dyDescent="0.2">
      <c r="A153" s="597" t="s">
        <v>344</v>
      </c>
      <c r="B153" s="595">
        <v>2700</v>
      </c>
    </row>
    <row r="154" spans="1:2" ht="15" x14ac:dyDescent="0.2">
      <c r="A154" s="597" t="s">
        <v>338</v>
      </c>
      <c r="B154" s="595">
        <v>2700</v>
      </c>
    </row>
    <row r="155" spans="1:2" ht="15" x14ac:dyDescent="0.2">
      <c r="A155" s="596" t="s">
        <v>275</v>
      </c>
      <c r="B155" s="595">
        <v>2700</v>
      </c>
    </row>
    <row r="156" spans="1:2" ht="15" x14ac:dyDescent="0.2">
      <c r="A156" s="597" t="s">
        <v>272</v>
      </c>
      <c r="B156" s="595">
        <v>2700</v>
      </c>
    </row>
    <row r="157" spans="1:2" ht="15" x14ac:dyDescent="0.2">
      <c r="A157" s="597" t="s">
        <v>276</v>
      </c>
      <c r="B157" s="595">
        <v>2700</v>
      </c>
    </row>
    <row r="158" spans="1:2" ht="15" x14ac:dyDescent="0.2">
      <c r="A158" s="597" t="s">
        <v>339</v>
      </c>
      <c r="B158" s="595">
        <v>2700</v>
      </c>
    </row>
    <row r="159" spans="1:2" ht="15" x14ac:dyDescent="0.2">
      <c r="A159" s="597" t="s">
        <v>340</v>
      </c>
      <c r="B159" s="595">
        <v>4780</v>
      </c>
    </row>
    <row r="160" spans="1:2" ht="15" x14ac:dyDescent="0.2">
      <c r="A160" s="596" t="s">
        <v>274</v>
      </c>
      <c r="B160" s="595">
        <v>4780</v>
      </c>
    </row>
    <row r="161" spans="1:2" ht="15" x14ac:dyDescent="0.2">
      <c r="A161" s="597" t="s">
        <v>341</v>
      </c>
      <c r="B161" s="595">
        <v>4780</v>
      </c>
    </row>
    <row r="162" spans="1:2" ht="15" x14ac:dyDescent="0.2">
      <c r="A162" s="597" t="s">
        <v>337</v>
      </c>
      <c r="B162" s="595">
        <v>4780</v>
      </c>
    </row>
    <row r="163" spans="1:2" ht="15" x14ac:dyDescent="0.2">
      <c r="A163" s="597" t="s">
        <v>271</v>
      </c>
      <c r="B163" s="595">
        <v>4780</v>
      </c>
    </row>
    <row r="164" spans="1:2" ht="15" x14ac:dyDescent="0.2">
      <c r="A164" s="597" t="s">
        <v>342</v>
      </c>
      <c r="B164" s="595">
        <v>1650</v>
      </c>
    </row>
    <row r="165" spans="1:2" ht="15" x14ac:dyDescent="0.2">
      <c r="A165" s="597" t="s">
        <v>281</v>
      </c>
      <c r="B165" s="595">
        <v>2730</v>
      </c>
    </row>
    <row r="166" spans="1:2" ht="15" x14ac:dyDescent="0.2">
      <c r="A166" s="597" t="s">
        <v>345</v>
      </c>
      <c r="B166" s="595">
        <v>5980</v>
      </c>
    </row>
    <row r="167" spans="1:2" ht="15" x14ac:dyDescent="0.2">
      <c r="A167" s="597" t="s">
        <v>294</v>
      </c>
      <c r="B167" s="595">
        <v>6890</v>
      </c>
    </row>
    <row r="168" spans="1:2" ht="15" x14ac:dyDescent="0.2">
      <c r="A168" s="597" t="s">
        <v>230</v>
      </c>
      <c r="B168" s="595">
        <v>6030</v>
      </c>
    </row>
    <row r="169" spans="1:2" ht="15" x14ac:dyDescent="0.2">
      <c r="A169" s="597" t="s">
        <v>346</v>
      </c>
      <c r="B169" s="595">
        <v>6030</v>
      </c>
    </row>
    <row r="170" spans="1:2" ht="15" x14ac:dyDescent="0.2">
      <c r="A170" s="597" t="s">
        <v>347</v>
      </c>
      <c r="B170" s="595">
        <v>5540</v>
      </c>
    </row>
    <row r="171" spans="1:2" ht="15" x14ac:dyDescent="0.2">
      <c r="A171" s="599" t="s">
        <v>299</v>
      </c>
      <c r="B171" s="595">
        <v>11220</v>
      </c>
    </row>
    <row r="172" spans="1:2" ht="15" x14ac:dyDescent="0.2">
      <c r="A172" s="597" t="s">
        <v>310</v>
      </c>
      <c r="B172" s="595">
        <v>22660</v>
      </c>
    </row>
    <row r="173" spans="1:2" ht="15" x14ac:dyDescent="0.2">
      <c r="A173" s="600" t="s">
        <v>348</v>
      </c>
      <c r="B173" s="595">
        <v>11330</v>
      </c>
    </row>
    <row r="174" spans="1:2" ht="15.75" customHeight="1" x14ac:dyDescent="0.2">
      <c r="A174" s="599" t="s">
        <v>311</v>
      </c>
      <c r="B174" s="595">
        <v>20390</v>
      </c>
    </row>
    <row r="175" spans="1:2" ht="15.75" customHeight="1" x14ac:dyDescent="0.2">
      <c r="A175" s="597" t="s">
        <v>312</v>
      </c>
      <c r="B175" s="595">
        <v>29106</v>
      </c>
    </row>
    <row r="176" spans="1:2" ht="15.75" customHeight="1" x14ac:dyDescent="0.2">
      <c r="A176" s="597" t="s">
        <v>313</v>
      </c>
      <c r="B176" s="595">
        <v>11330</v>
      </c>
    </row>
    <row r="177" spans="1:2" ht="15.75" customHeight="1" x14ac:dyDescent="0.2">
      <c r="A177" s="606"/>
      <c r="B177" s="603"/>
    </row>
    <row r="178" spans="1:2" ht="15" x14ac:dyDescent="0.2">
      <c r="A178" s="607" t="s">
        <v>349</v>
      </c>
      <c r="B178" s="603"/>
    </row>
    <row r="179" spans="1:2" ht="15.75" customHeight="1" x14ac:dyDescent="0.2">
      <c r="A179" s="591" t="s">
        <v>238</v>
      </c>
      <c r="B179" s="592" t="s">
        <v>468</v>
      </c>
    </row>
    <row r="180" spans="1:2" ht="15" x14ac:dyDescent="0.2">
      <c r="A180" s="597" t="s">
        <v>493</v>
      </c>
      <c r="B180" s="595">
        <v>2270</v>
      </c>
    </row>
    <row r="181" spans="1:2" ht="15" x14ac:dyDescent="0.2">
      <c r="A181" s="597" t="s">
        <v>494</v>
      </c>
      <c r="B181" s="595">
        <v>4530</v>
      </c>
    </row>
    <row r="182" spans="1:2" ht="15" x14ac:dyDescent="0.2">
      <c r="A182" s="597" t="s">
        <v>350</v>
      </c>
      <c r="B182" s="595">
        <v>2070</v>
      </c>
    </row>
    <row r="183" spans="1:2" ht="15" x14ac:dyDescent="0.2">
      <c r="A183" s="597" t="s">
        <v>495</v>
      </c>
      <c r="B183" s="595">
        <v>2070</v>
      </c>
    </row>
    <row r="184" spans="1:2" ht="15" x14ac:dyDescent="0.2">
      <c r="A184" s="597" t="s">
        <v>496</v>
      </c>
      <c r="B184" s="595">
        <v>2250</v>
      </c>
    </row>
    <row r="185" spans="1:2" ht="15" x14ac:dyDescent="0.2">
      <c r="A185" s="597" t="s">
        <v>497</v>
      </c>
      <c r="B185" s="595">
        <v>2250</v>
      </c>
    </row>
    <row r="186" spans="1:2" ht="15" x14ac:dyDescent="0.2">
      <c r="A186" s="597" t="s">
        <v>498</v>
      </c>
      <c r="B186" s="595">
        <v>2250</v>
      </c>
    </row>
    <row r="187" spans="1:2" ht="15" x14ac:dyDescent="0.2">
      <c r="A187" s="597" t="s">
        <v>499</v>
      </c>
      <c r="B187" s="595">
        <v>2250</v>
      </c>
    </row>
    <row r="188" spans="1:2" ht="15" x14ac:dyDescent="0.2">
      <c r="A188" s="597" t="s">
        <v>500</v>
      </c>
      <c r="B188" s="595">
        <v>6890</v>
      </c>
    </row>
    <row r="189" spans="1:2" ht="15" x14ac:dyDescent="0.2">
      <c r="A189" s="597" t="s">
        <v>351</v>
      </c>
      <c r="B189" s="595">
        <v>1900</v>
      </c>
    </row>
    <row r="190" spans="1:2" ht="15" x14ac:dyDescent="0.2">
      <c r="A190" s="597" t="s">
        <v>352</v>
      </c>
      <c r="B190" s="595">
        <v>1900</v>
      </c>
    </row>
    <row r="191" spans="1:2" ht="15" x14ac:dyDescent="0.2">
      <c r="A191" s="597" t="s">
        <v>222</v>
      </c>
      <c r="B191" s="595">
        <v>590</v>
      </c>
    </row>
    <row r="192" spans="1:2" ht="15" x14ac:dyDescent="0.2">
      <c r="A192" s="597" t="s">
        <v>292</v>
      </c>
      <c r="B192" s="595">
        <v>5160</v>
      </c>
    </row>
    <row r="193" spans="1:2" ht="15" x14ac:dyDescent="0.2">
      <c r="A193" s="597" t="s">
        <v>501</v>
      </c>
      <c r="B193" s="595">
        <v>5160</v>
      </c>
    </row>
    <row r="194" spans="1:2" ht="15" x14ac:dyDescent="0.2">
      <c r="A194" s="597" t="s">
        <v>321</v>
      </c>
      <c r="B194" s="595">
        <v>2700</v>
      </c>
    </row>
    <row r="195" spans="1:2" ht="15" x14ac:dyDescent="0.2">
      <c r="A195" s="597" t="s">
        <v>324</v>
      </c>
      <c r="B195" s="595">
        <v>2700</v>
      </c>
    </row>
    <row r="196" spans="1:2" ht="15" x14ac:dyDescent="0.2">
      <c r="A196" s="597" t="s">
        <v>325</v>
      </c>
      <c r="B196" s="595">
        <v>2700</v>
      </c>
    </row>
    <row r="197" spans="1:2" ht="15" x14ac:dyDescent="0.2">
      <c r="A197" s="597" t="s">
        <v>326</v>
      </c>
      <c r="B197" s="595">
        <v>2700</v>
      </c>
    </row>
    <row r="198" spans="1:2" ht="15" x14ac:dyDescent="0.2">
      <c r="A198" s="597" t="s">
        <v>327</v>
      </c>
      <c r="B198" s="595">
        <v>2700</v>
      </c>
    </row>
    <row r="199" spans="1:2" ht="15" x14ac:dyDescent="0.2">
      <c r="A199" s="597" t="s">
        <v>328</v>
      </c>
      <c r="B199" s="595">
        <v>2700</v>
      </c>
    </row>
    <row r="200" spans="1:2" ht="15" x14ac:dyDescent="0.2">
      <c r="A200" s="597" t="s">
        <v>329</v>
      </c>
      <c r="B200" s="595">
        <v>2700</v>
      </c>
    </row>
    <row r="201" spans="1:2" ht="15" x14ac:dyDescent="0.2">
      <c r="A201" s="597" t="s">
        <v>330</v>
      </c>
      <c r="B201" s="595">
        <v>2700</v>
      </c>
    </row>
    <row r="202" spans="1:2" ht="15" x14ac:dyDescent="0.2">
      <c r="A202" s="597" t="s">
        <v>331</v>
      </c>
      <c r="B202" s="595">
        <v>2700</v>
      </c>
    </row>
    <row r="203" spans="1:2" ht="15" x14ac:dyDescent="0.2">
      <c r="A203" s="597" t="s">
        <v>270</v>
      </c>
      <c r="B203" s="595">
        <v>2700</v>
      </c>
    </row>
    <row r="204" spans="1:2" ht="15" x14ac:dyDescent="0.2">
      <c r="A204" s="597" t="s">
        <v>502</v>
      </c>
      <c r="B204" s="595">
        <v>2700</v>
      </c>
    </row>
    <row r="205" spans="1:2" ht="15" x14ac:dyDescent="0.2">
      <c r="A205" s="597" t="s">
        <v>503</v>
      </c>
      <c r="B205" s="595">
        <v>2700</v>
      </c>
    </row>
    <row r="206" spans="1:2" ht="15" x14ac:dyDescent="0.2">
      <c r="A206" s="597" t="s">
        <v>504</v>
      </c>
      <c r="B206" s="595">
        <v>2700</v>
      </c>
    </row>
    <row r="207" spans="1:2" ht="15" x14ac:dyDescent="0.2">
      <c r="A207" s="597" t="s">
        <v>333</v>
      </c>
      <c r="B207" s="595">
        <v>2700</v>
      </c>
    </row>
    <row r="208" spans="1:2" ht="15" x14ac:dyDescent="0.2">
      <c r="A208" s="597" t="s">
        <v>334</v>
      </c>
      <c r="B208" s="595">
        <v>2700</v>
      </c>
    </row>
    <row r="209" spans="1:2" ht="15" x14ac:dyDescent="0.2">
      <c r="A209" s="597" t="s">
        <v>335</v>
      </c>
      <c r="B209" s="595">
        <v>2700</v>
      </c>
    </row>
    <row r="210" spans="1:2" ht="15" x14ac:dyDescent="0.2">
      <c r="A210" s="597" t="s">
        <v>336</v>
      </c>
      <c r="B210" s="595">
        <v>2700</v>
      </c>
    </row>
    <row r="211" spans="1:2" ht="15" x14ac:dyDescent="0.2">
      <c r="A211" s="597" t="s">
        <v>275</v>
      </c>
      <c r="B211" s="595">
        <v>2700</v>
      </c>
    </row>
    <row r="212" spans="1:2" ht="15" x14ac:dyDescent="0.2">
      <c r="A212" s="597" t="s">
        <v>344</v>
      </c>
      <c r="B212" s="595">
        <v>2700</v>
      </c>
    </row>
    <row r="213" spans="1:2" ht="15" x14ac:dyDescent="0.2">
      <c r="A213" s="597" t="s">
        <v>353</v>
      </c>
      <c r="B213" s="595">
        <v>2700</v>
      </c>
    </row>
    <row r="214" spans="1:2" ht="15" x14ac:dyDescent="0.2">
      <c r="A214" s="597" t="s">
        <v>338</v>
      </c>
      <c r="B214" s="595">
        <v>2700</v>
      </c>
    </row>
    <row r="215" spans="1:2" ht="15" x14ac:dyDescent="0.2">
      <c r="A215" s="597" t="s">
        <v>337</v>
      </c>
      <c r="B215" s="595">
        <v>4780</v>
      </c>
    </row>
    <row r="216" spans="1:2" ht="15" x14ac:dyDescent="0.2">
      <c r="A216" s="597" t="s">
        <v>340</v>
      </c>
      <c r="B216" s="595">
        <v>4780</v>
      </c>
    </row>
    <row r="217" spans="1:2" ht="15" x14ac:dyDescent="0.2">
      <c r="A217" s="597" t="s">
        <v>271</v>
      </c>
      <c r="B217" s="595">
        <v>4780</v>
      </c>
    </row>
    <row r="218" spans="1:2" ht="15" x14ac:dyDescent="0.2">
      <c r="A218" s="597" t="s">
        <v>505</v>
      </c>
      <c r="B218" s="595">
        <v>4780</v>
      </c>
    </row>
    <row r="219" spans="1:2" ht="15" x14ac:dyDescent="0.2">
      <c r="A219" s="597" t="s">
        <v>230</v>
      </c>
      <c r="B219" s="595">
        <v>6030</v>
      </c>
    </row>
    <row r="220" spans="1:2" ht="15" x14ac:dyDescent="0.2">
      <c r="A220" s="597" t="s">
        <v>354</v>
      </c>
      <c r="B220" s="595">
        <v>1900</v>
      </c>
    </row>
    <row r="221" spans="1:2" ht="15.75" customHeight="1" x14ac:dyDescent="0.2">
      <c r="A221" s="597" t="s">
        <v>506</v>
      </c>
      <c r="B221" s="595">
        <v>6890</v>
      </c>
    </row>
    <row r="222" spans="1:2" ht="15" x14ac:dyDescent="0.2">
      <c r="A222" s="597" t="s">
        <v>355</v>
      </c>
      <c r="B222" s="595">
        <v>6890</v>
      </c>
    </row>
    <row r="223" spans="1:2" ht="15" x14ac:dyDescent="0.2">
      <c r="A223" s="597" t="s">
        <v>507</v>
      </c>
      <c r="B223" s="595">
        <v>22660</v>
      </c>
    </row>
    <row r="224" spans="1:2" ht="15" x14ac:dyDescent="0.2">
      <c r="A224" s="597" t="s">
        <v>312</v>
      </c>
      <c r="B224" s="595">
        <v>29100</v>
      </c>
    </row>
    <row r="225" spans="1:2" ht="15" x14ac:dyDescent="0.2">
      <c r="A225" s="597" t="s">
        <v>508</v>
      </c>
      <c r="B225" s="595">
        <v>1130</v>
      </c>
    </row>
    <row r="226" spans="1:2" ht="15" x14ac:dyDescent="0.2">
      <c r="A226" s="602"/>
      <c r="B226" s="608"/>
    </row>
    <row r="227" spans="1:2" ht="15" x14ac:dyDescent="0.2">
      <c r="A227" s="609" t="s">
        <v>957</v>
      </c>
      <c r="B227" s="610" t="s">
        <v>953</v>
      </c>
    </row>
    <row r="228" spans="1:2" ht="15" x14ac:dyDescent="0.2">
      <c r="A228" s="602" t="s">
        <v>619</v>
      </c>
      <c r="B228" s="611">
        <v>250</v>
      </c>
    </row>
    <row r="229" spans="1:2" ht="15" x14ac:dyDescent="0.2">
      <c r="A229" s="602" t="s">
        <v>599</v>
      </c>
      <c r="B229" s="611">
        <v>300</v>
      </c>
    </row>
    <row r="230" spans="1:2" ht="15" x14ac:dyDescent="0.2">
      <c r="A230" s="602" t="s">
        <v>568</v>
      </c>
      <c r="B230" s="611">
        <v>17000</v>
      </c>
    </row>
    <row r="231" spans="1:2" ht="15" x14ac:dyDescent="0.2">
      <c r="A231" s="602" t="s">
        <v>569</v>
      </c>
      <c r="B231" s="611">
        <v>2800</v>
      </c>
    </row>
    <row r="232" spans="1:2" ht="15" x14ac:dyDescent="0.2">
      <c r="A232" s="602" t="s">
        <v>570</v>
      </c>
      <c r="B232" s="611">
        <v>5500</v>
      </c>
    </row>
    <row r="233" spans="1:2" ht="15" x14ac:dyDescent="0.2">
      <c r="A233" s="588"/>
      <c r="B233" s="588"/>
    </row>
  </sheetData>
  <printOptions horizontalCentered="1"/>
  <pageMargins left="0.47244094488188981" right="0.15748031496062992" top="0.55118110236220474" bottom="0.51181102362204722" header="0.23622047244094491" footer="0.15748031496062992"/>
  <pageSetup paperSize="9" scale="21" pageOrder="overThenDown" orientation="portrait" errors="blank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D15"/>
  <sheetViews>
    <sheetView showGridLines="0" zoomScaleNormal="100" zoomScaleSheetLayoutView="100" workbookViewId="0">
      <selection activeCell="F5" sqref="F5"/>
    </sheetView>
  </sheetViews>
  <sheetFormatPr defaultColWidth="9.140625" defaultRowHeight="15" x14ac:dyDescent="0.25"/>
  <cols>
    <col min="1" max="1" width="37.42578125" style="20" customWidth="1"/>
    <col min="2" max="2" width="15.85546875" style="20" bestFit="1" customWidth="1"/>
    <col min="3" max="3" width="19.85546875" style="20" bestFit="1" customWidth="1"/>
    <col min="4" max="4" width="7.140625" style="20" customWidth="1"/>
    <col min="5" max="16384" width="9.140625" style="20"/>
  </cols>
  <sheetData>
    <row r="1" spans="1:4" ht="54" customHeight="1" x14ac:dyDescent="0.25">
      <c r="A1" s="282"/>
      <c r="B1" s="282"/>
      <c r="C1" s="557" t="s">
        <v>435</v>
      </c>
      <c r="D1" s="566"/>
    </row>
    <row r="2" spans="1:4" ht="57.75" customHeight="1" x14ac:dyDescent="0.25">
      <c r="A2" s="672" t="s">
        <v>773</v>
      </c>
      <c r="B2" s="672"/>
      <c r="C2" s="672"/>
      <c r="D2" s="672"/>
    </row>
    <row r="3" spans="1:4" x14ac:dyDescent="0.25">
      <c r="A3" s="104"/>
      <c r="B3" s="104"/>
      <c r="C3" s="104"/>
      <c r="D3" s="104"/>
    </row>
    <row r="4" spans="1:4" x14ac:dyDescent="0.25">
      <c r="A4" s="115" t="s">
        <v>356</v>
      </c>
      <c r="B4" s="104"/>
      <c r="C4" s="104"/>
      <c r="D4" s="104"/>
    </row>
    <row r="5" spans="1:4" s="56" customFormat="1" ht="27.75" customHeight="1" x14ac:dyDescent="0.25">
      <c r="A5" s="116" t="s">
        <v>357</v>
      </c>
      <c r="B5" s="104"/>
      <c r="C5" s="104"/>
      <c r="D5" s="104"/>
    </row>
    <row r="6" spans="1:4" x14ac:dyDescent="0.25">
      <c r="A6" s="104"/>
      <c r="B6" s="104"/>
      <c r="C6" s="104"/>
      <c r="D6" s="104"/>
    </row>
    <row r="7" spans="1:4" ht="18" x14ac:dyDescent="0.25">
      <c r="A7" s="104" t="s">
        <v>358</v>
      </c>
      <c r="B7" s="213">
        <v>14350</v>
      </c>
      <c r="C7" s="114" t="s">
        <v>359</v>
      </c>
      <c r="D7" s="104"/>
    </row>
    <row r="8" spans="1:4" ht="18" x14ac:dyDescent="0.25">
      <c r="A8" s="114" t="s">
        <v>360</v>
      </c>
      <c r="B8" s="213">
        <v>14350</v>
      </c>
      <c r="C8" s="114" t="s">
        <v>359</v>
      </c>
      <c r="D8" s="104"/>
    </row>
    <row r="9" spans="1:4" ht="18" x14ac:dyDescent="0.25">
      <c r="A9" s="104" t="s">
        <v>361</v>
      </c>
      <c r="B9" s="213">
        <v>14350</v>
      </c>
      <c r="C9" s="114" t="s">
        <v>359</v>
      </c>
      <c r="D9" s="104"/>
    </row>
    <row r="10" spans="1:4" ht="18" x14ac:dyDescent="0.25">
      <c r="A10" s="104" t="s">
        <v>362</v>
      </c>
      <c r="B10" s="213">
        <v>1830</v>
      </c>
      <c r="C10" s="114" t="s">
        <v>359</v>
      </c>
      <c r="D10" s="104"/>
    </row>
    <row r="11" spans="1:4" ht="18" x14ac:dyDescent="0.25">
      <c r="A11" s="104" t="s">
        <v>363</v>
      </c>
      <c r="B11" s="213">
        <v>2430</v>
      </c>
      <c r="C11" s="114" t="s">
        <v>359</v>
      </c>
      <c r="D11" s="104"/>
    </row>
    <row r="12" spans="1:4" x14ac:dyDescent="0.25">
      <c r="A12" s="104"/>
      <c r="B12" s="104"/>
      <c r="C12" s="104"/>
      <c r="D12" s="104"/>
    </row>
    <row r="13" spans="1:4" x14ac:dyDescent="0.25">
      <c r="A13" s="104"/>
      <c r="B13" s="104"/>
      <c r="C13" s="104"/>
      <c r="D13" s="104"/>
    </row>
    <row r="14" spans="1:4" x14ac:dyDescent="0.25">
      <c r="A14" s="104"/>
      <c r="B14" s="104"/>
      <c r="C14" s="104"/>
      <c r="D14" s="104"/>
    </row>
    <row r="15" spans="1:4" x14ac:dyDescent="0.25">
      <c r="A15" s="104" t="s">
        <v>215</v>
      </c>
      <c r="B15" s="104"/>
      <c r="C15" s="104"/>
      <c r="D15" s="104"/>
    </row>
  </sheetData>
  <mergeCells count="1">
    <mergeCell ref="A2:D2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showGridLines="0" topLeftCell="A43" zoomScaleNormal="100" zoomScaleSheetLayoutView="100" workbookViewId="0">
      <selection activeCell="F49" sqref="F49"/>
    </sheetView>
  </sheetViews>
  <sheetFormatPr defaultColWidth="9.140625" defaultRowHeight="15" x14ac:dyDescent="0.25"/>
  <cols>
    <col min="1" max="1" width="29.140625" style="393" customWidth="1"/>
    <col min="2" max="2" width="9.7109375" style="393" customWidth="1"/>
    <col min="3" max="3" width="12.7109375" style="393" bestFit="1" customWidth="1"/>
    <col min="4" max="4" width="44.140625" style="393" customWidth="1"/>
    <col min="5" max="12" width="9.140625" style="393"/>
    <col min="13" max="13" width="11.28515625" style="393" customWidth="1"/>
    <col min="14" max="16384" width="9.140625" style="393"/>
  </cols>
  <sheetData>
    <row r="1" spans="1:5" ht="21.75" customHeight="1" x14ac:dyDescent="0.25">
      <c r="A1" s="674" t="s">
        <v>1032</v>
      </c>
      <c r="B1" s="674"/>
      <c r="C1" s="674"/>
      <c r="D1" s="674"/>
      <c r="E1" s="674"/>
    </row>
    <row r="2" spans="1:5" ht="19.5" customHeight="1" x14ac:dyDescent="0.25">
      <c r="A2" s="637" t="s">
        <v>1031</v>
      </c>
      <c r="B2" s="637"/>
      <c r="C2" s="637"/>
      <c r="D2" s="637"/>
      <c r="E2" s="637"/>
    </row>
    <row r="3" spans="1:5" ht="15" customHeight="1" x14ac:dyDescent="0.25">
      <c r="A3" s="757" t="s">
        <v>1030</v>
      </c>
      <c r="B3" s="757"/>
      <c r="C3" s="757"/>
      <c r="D3" s="757"/>
      <c r="E3" s="757"/>
    </row>
    <row r="4" spans="1:5" x14ac:dyDescent="0.25">
      <c r="A4" s="200" t="s">
        <v>982</v>
      </c>
      <c r="B4" s="256"/>
      <c r="C4" s="256"/>
      <c r="D4" s="256"/>
      <c r="E4" s="256"/>
    </row>
    <row r="5" spans="1:5" ht="9" customHeight="1" x14ac:dyDescent="0.25">
      <c r="B5" s="256"/>
      <c r="C5" s="256"/>
      <c r="D5" s="256"/>
      <c r="E5" s="256"/>
    </row>
    <row r="6" spans="1:5" x14ac:dyDescent="0.25">
      <c r="A6" s="201" t="s">
        <v>1029</v>
      </c>
      <c r="B6" s="256"/>
      <c r="C6" s="256"/>
      <c r="D6" s="256"/>
      <c r="E6" s="256"/>
    </row>
    <row r="7" spans="1:5" ht="31.5" customHeight="1" x14ac:dyDescent="0.25">
      <c r="A7" s="673" t="s">
        <v>1028</v>
      </c>
      <c r="B7" s="673"/>
      <c r="C7" s="673"/>
      <c r="D7" s="673"/>
      <c r="E7" s="673"/>
    </row>
    <row r="8" spans="1:5" x14ac:dyDescent="0.25">
      <c r="A8" s="721" t="s">
        <v>1027</v>
      </c>
      <c r="B8" s="744" t="s">
        <v>1025</v>
      </c>
      <c r="C8" s="743">
        <v>194.4</v>
      </c>
      <c r="D8" s="256"/>
      <c r="E8" s="256"/>
    </row>
    <row r="9" spans="1:5" x14ac:dyDescent="0.25">
      <c r="A9" s="721"/>
      <c r="B9" s="744" t="s">
        <v>1024</v>
      </c>
      <c r="C9" s="743">
        <v>162</v>
      </c>
      <c r="D9" s="256"/>
      <c r="E9" s="256"/>
    </row>
    <row r="10" spans="1:5" ht="15" customHeight="1" x14ac:dyDescent="0.25">
      <c r="A10" s="721" t="s">
        <v>1026</v>
      </c>
      <c r="B10" s="744" t="s">
        <v>1025</v>
      </c>
      <c r="C10" s="743">
        <v>297.89999999999998</v>
      </c>
      <c r="D10" s="256"/>
      <c r="E10" s="256"/>
    </row>
    <row r="11" spans="1:5" x14ac:dyDescent="0.25">
      <c r="A11" s="721"/>
      <c r="B11" s="744" t="s">
        <v>1024</v>
      </c>
      <c r="C11" s="743">
        <v>234.9</v>
      </c>
      <c r="D11" s="256"/>
      <c r="E11" s="256"/>
    </row>
    <row r="12" spans="1:5" ht="16.5" x14ac:dyDescent="0.25">
      <c r="A12" s="756" t="s">
        <v>1023</v>
      </c>
      <c r="B12" s="744" t="s">
        <v>1022</v>
      </c>
      <c r="C12" s="755">
        <v>2.34</v>
      </c>
      <c r="D12" s="256"/>
      <c r="E12" s="256"/>
    </row>
    <row r="13" spans="1:5" ht="10.5" customHeight="1" x14ac:dyDescent="0.25">
      <c r="A13" s="202"/>
      <c r="B13" s="256"/>
      <c r="C13" s="256"/>
      <c r="D13" s="256"/>
      <c r="E13" s="256"/>
    </row>
    <row r="14" spans="1:5" x14ac:dyDescent="0.25">
      <c r="A14" s="201" t="s">
        <v>1021</v>
      </c>
      <c r="B14" s="201"/>
      <c r="C14" s="256"/>
      <c r="D14" s="256"/>
      <c r="E14" s="256"/>
    </row>
    <row r="15" spans="1:5" x14ac:dyDescent="0.25">
      <c r="A15" s="751" t="s">
        <v>82</v>
      </c>
      <c r="B15" s="750" t="s">
        <v>1017</v>
      </c>
      <c r="C15" s="750"/>
      <c r="D15" s="747" t="s">
        <v>1016</v>
      </c>
      <c r="E15" s="256"/>
    </row>
    <row r="16" spans="1:5" ht="16.5" x14ac:dyDescent="0.25">
      <c r="A16" s="749" t="s">
        <v>1014</v>
      </c>
      <c r="B16" s="748" t="s">
        <v>1013</v>
      </c>
      <c r="C16" s="748" t="s">
        <v>1012</v>
      </c>
      <c r="D16" s="747" t="s">
        <v>1020</v>
      </c>
      <c r="E16" s="256"/>
    </row>
    <row r="17" spans="1:5" x14ac:dyDescent="0.25">
      <c r="A17" s="746"/>
      <c r="B17" s="744" t="s">
        <v>1010</v>
      </c>
      <c r="C17" s="743">
        <v>216</v>
      </c>
      <c r="D17" s="754">
        <v>331</v>
      </c>
      <c r="E17" s="256"/>
    </row>
    <row r="18" spans="1:5" x14ac:dyDescent="0.25">
      <c r="A18" s="746"/>
      <c r="B18" s="744" t="s">
        <v>1009</v>
      </c>
      <c r="C18" s="743">
        <v>648</v>
      </c>
      <c r="D18" s="753"/>
      <c r="E18" s="256"/>
    </row>
    <row r="19" spans="1:5" x14ac:dyDescent="0.25">
      <c r="A19" s="746"/>
      <c r="B19" s="744" t="s">
        <v>1008</v>
      </c>
      <c r="C19" s="743">
        <v>1944</v>
      </c>
      <c r="D19" s="753"/>
      <c r="E19" s="256"/>
    </row>
    <row r="20" spans="1:5" x14ac:dyDescent="0.25">
      <c r="A20" s="746"/>
      <c r="B20" s="744" t="s">
        <v>1019</v>
      </c>
      <c r="C20" s="743">
        <v>7130</v>
      </c>
      <c r="D20" s="753"/>
      <c r="E20" s="256"/>
    </row>
    <row r="21" spans="1:5" x14ac:dyDescent="0.25">
      <c r="A21" s="745"/>
      <c r="B21" s="744" t="s">
        <v>1006</v>
      </c>
      <c r="C21" s="743">
        <v>17500</v>
      </c>
      <c r="D21" s="752"/>
      <c r="E21" s="256"/>
    </row>
    <row r="22" spans="1:5" x14ac:dyDescent="0.25">
      <c r="A22" s="256"/>
      <c r="B22" s="256"/>
      <c r="C22" s="701"/>
      <c r="D22" s="256"/>
      <c r="E22" s="256"/>
    </row>
    <row r="23" spans="1:5" x14ac:dyDescent="0.25">
      <c r="A23" s="751" t="s">
        <v>1018</v>
      </c>
      <c r="B23" s="750" t="s">
        <v>1017</v>
      </c>
      <c r="C23" s="750"/>
      <c r="D23" s="747" t="s">
        <v>1016</v>
      </c>
      <c r="E23" s="747" t="s">
        <v>1015</v>
      </c>
    </row>
    <row r="24" spans="1:5" x14ac:dyDescent="0.25">
      <c r="A24" s="749" t="s">
        <v>1014</v>
      </c>
      <c r="B24" s="748" t="s">
        <v>1013</v>
      </c>
      <c r="C24" s="748" t="s">
        <v>1012</v>
      </c>
      <c r="D24" s="747" t="s">
        <v>1011</v>
      </c>
      <c r="E24" s="747" t="s">
        <v>1011</v>
      </c>
    </row>
    <row r="25" spans="1:5" x14ac:dyDescent="0.25">
      <c r="A25" s="746"/>
      <c r="B25" s="744" t="s">
        <v>1010</v>
      </c>
      <c r="C25" s="743">
        <v>180</v>
      </c>
      <c r="D25" s="742">
        <v>261</v>
      </c>
      <c r="E25" s="741">
        <v>2.6</v>
      </c>
    </row>
    <row r="26" spans="1:5" x14ac:dyDescent="0.25">
      <c r="A26" s="746"/>
      <c r="B26" s="744" t="s">
        <v>1009</v>
      </c>
      <c r="C26" s="743">
        <v>900</v>
      </c>
      <c r="D26" s="742"/>
      <c r="E26" s="741"/>
    </row>
    <row r="27" spans="1:5" x14ac:dyDescent="0.25">
      <c r="A27" s="746"/>
      <c r="B27" s="744" t="s">
        <v>1008</v>
      </c>
      <c r="C27" s="743">
        <v>1800</v>
      </c>
      <c r="D27" s="742"/>
      <c r="E27" s="741"/>
    </row>
    <row r="28" spans="1:5" x14ac:dyDescent="0.25">
      <c r="A28" s="746"/>
      <c r="B28" s="744" t="s">
        <v>1007</v>
      </c>
      <c r="C28" s="743">
        <v>8100</v>
      </c>
      <c r="D28" s="742"/>
      <c r="E28" s="741"/>
    </row>
    <row r="29" spans="1:5" x14ac:dyDescent="0.25">
      <c r="A29" s="745"/>
      <c r="B29" s="744" t="s">
        <v>1006</v>
      </c>
      <c r="C29" s="743">
        <v>18000</v>
      </c>
      <c r="D29" s="742"/>
      <c r="E29" s="741"/>
    </row>
    <row r="30" spans="1:5" x14ac:dyDescent="0.25">
      <c r="A30" s="256"/>
      <c r="B30" s="256"/>
      <c r="C30" s="256"/>
      <c r="D30" s="701"/>
      <c r="E30" s="256"/>
    </row>
    <row r="31" spans="1:5" x14ac:dyDescent="0.25">
      <c r="A31" s="203" t="s">
        <v>1005</v>
      </c>
      <c r="B31" s="256"/>
      <c r="C31" s="256"/>
      <c r="D31" s="256"/>
      <c r="E31" s="256"/>
    </row>
    <row r="32" spans="1:5" x14ac:dyDescent="0.25">
      <c r="A32" s="200" t="s">
        <v>982</v>
      </c>
      <c r="B32" s="256"/>
      <c r="C32" s="256"/>
      <c r="D32" s="256"/>
      <c r="E32" s="256"/>
    </row>
    <row r="33" spans="1:14" ht="18.75" customHeight="1" x14ac:dyDescent="0.25">
      <c r="A33" s="740" t="s">
        <v>1004</v>
      </c>
      <c r="B33" s="737" t="s">
        <v>1003</v>
      </c>
      <c r="C33" s="737" t="s">
        <v>1002</v>
      </c>
      <c r="D33" s="736" t="s">
        <v>1001</v>
      </c>
      <c r="E33" s="256"/>
    </row>
    <row r="34" spans="1:14" ht="16.5" customHeight="1" x14ac:dyDescent="0.25">
      <c r="A34" s="739"/>
      <c r="B34" s="737" t="s">
        <v>1000</v>
      </c>
      <c r="C34" s="737" t="s">
        <v>999</v>
      </c>
      <c r="D34" s="736"/>
      <c r="E34" s="256"/>
    </row>
    <row r="35" spans="1:14" ht="15.75" customHeight="1" x14ac:dyDescent="0.25">
      <c r="A35" s="738"/>
      <c r="B35" s="737" t="s">
        <v>998</v>
      </c>
      <c r="C35" s="737" t="s">
        <v>997</v>
      </c>
      <c r="D35" s="736"/>
      <c r="E35" s="256"/>
    </row>
    <row r="36" spans="1:14" ht="17.25" customHeight="1" x14ac:dyDescent="0.25">
      <c r="A36" s="728" t="s">
        <v>993</v>
      </c>
      <c r="B36" s="727">
        <v>575</v>
      </c>
      <c r="C36" s="722">
        <v>293</v>
      </c>
      <c r="D36" s="721" t="s">
        <v>996</v>
      </c>
      <c r="E36" s="256"/>
    </row>
    <row r="37" spans="1:14" ht="18" customHeight="1" x14ac:dyDescent="0.25">
      <c r="A37" s="724"/>
      <c r="B37" s="723" t="s">
        <v>995</v>
      </c>
      <c r="C37" s="722">
        <v>146.5</v>
      </c>
      <c r="D37" s="721"/>
      <c r="E37" s="256"/>
    </row>
    <row r="38" spans="1:14" ht="16.5" customHeight="1" x14ac:dyDescent="0.25">
      <c r="A38" s="728" t="s">
        <v>993</v>
      </c>
      <c r="B38" s="727">
        <v>450</v>
      </c>
      <c r="C38" s="722">
        <v>293</v>
      </c>
      <c r="D38" s="734" t="s">
        <v>994</v>
      </c>
      <c r="E38" s="256"/>
    </row>
    <row r="39" spans="1:14" ht="19.5" customHeight="1" x14ac:dyDescent="0.25">
      <c r="A39" s="724"/>
      <c r="B39" s="723" t="s">
        <v>983</v>
      </c>
      <c r="C39" s="722">
        <v>146.5</v>
      </c>
      <c r="D39" s="735"/>
      <c r="E39" s="256"/>
    </row>
    <row r="40" spans="1:14" ht="16.5" customHeight="1" x14ac:dyDescent="0.25">
      <c r="A40" s="728" t="s">
        <v>993</v>
      </c>
      <c r="B40" s="727">
        <v>200</v>
      </c>
      <c r="C40" s="722">
        <v>293</v>
      </c>
      <c r="D40" s="734" t="s">
        <v>992</v>
      </c>
      <c r="E40" s="256"/>
    </row>
    <row r="41" spans="1:14" ht="21" customHeight="1" x14ac:dyDescent="0.25">
      <c r="A41" s="724"/>
      <c r="B41" s="723" t="s">
        <v>991</v>
      </c>
      <c r="C41" s="722">
        <v>146.5</v>
      </c>
      <c r="D41" s="733"/>
      <c r="E41" s="256"/>
    </row>
    <row r="42" spans="1:14" x14ac:dyDescent="0.25">
      <c r="A42" s="728" t="s">
        <v>990</v>
      </c>
      <c r="B42" s="727">
        <v>150</v>
      </c>
      <c r="C42" s="722">
        <v>240</v>
      </c>
      <c r="D42" s="732" t="s">
        <v>989</v>
      </c>
      <c r="E42" s="256"/>
      <c r="K42" s="200"/>
      <c r="L42" s="256"/>
      <c r="M42" s="204"/>
      <c r="N42" s="701"/>
    </row>
    <row r="43" spans="1:14" x14ac:dyDescent="0.25">
      <c r="A43" s="724"/>
      <c r="B43" s="723" t="s">
        <v>988</v>
      </c>
      <c r="C43" s="722">
        <v>120</v>
      </c>
      <c r="D43" s="732"/>
      <c r="E43" s="256"/>
      <c r="K43" s="203"/>
      <c r="L43" s="256"/>
      <c r="M43" s="726"/>
      <c r="N43" s="725"/>
    </row>
    <row r="44" spans="1:14" x14ac:dyDescent="0.25">
      <c r="A44" s="731" t="s">
        <v>987</v>
      </c>
      <c r="B44" s="730"/>
      <c r="C44" s="722">
        <v>114.8</v>
      </c>
      <c r="D44" s="729" t="s">
        <v>986</v>
      </c>
      <c r="E44" s="256"/>
      <c r="K44" s="200"/>
      <c r="L44" s="256"/>
      <c r="M44" s="204"/>
      <c r="N44" s="701"/>
    </row>
    <row r="45" spans="1:14" x14ac:dyDescent="0.25">
      <c r="A45" s="728" t="s">
        <v>985</v>
      </c>
      <c r="B45" s="727">
        <v>450</v>
      </c>
      <c r="C45" s="722">
        <v>293</v>
      </c>
      <c r="D45" s="721" t="s">
        <v>984</v>
      </c>
      <c r="E45" s="256"/>
      <c r="K45" s="203"/>
      <c r="L45" s="256"/>
      <c r="M45" s="726"/>
      <c r="N45" s="725"/>
    </row>
    <row r="46" spans="1:14" x14ac:dyDescent="0.25">
      <c r="A46" s="724"/>
      <c r="B46" s="723" t="s">
        <v>983</v>
      </c>
      <c r="C46" s="722">
        <v>146.5</v>
      </c>
      <c r="D46" s="721"/>
      <c r="E46" s="256"/>
      <c r="K46" s="717"/>
      <c r="L46" s="715"/>
      <c r="M46" s="701"/>
      <c r="N46" s="714"/>
    </row>
    <row r="47" spans="1:14" x14ac:dyDescent="0.25">
      <c r="A47" s="200" t="s">
        <v>982</v>
      </c>
      <c r="B47" s="256"/>
      <c r="C47" s="204"/>
      <c r="D47" s="701"/>
      <c r="E47" s="206"/>
      <c r="K47" s="717"/>
      <c r="L47" s="715"/>
      <c r="M47" s="701"/>
      <c r="N47" s="714"/>
    </row>
    <row r="48" spans="1:14" x14ac:dyDescent="0.25">
      <c r="A48" s="202"/>
      <c r="B48" s="256"/>
      <c r="C48" s="204"/>
      <c r="D48" s="701"/>
      <c r="E48" s="206"/>
      <c r="K48" s="256"/>
      <c r="L48" s="715"/>
      <c r="M48" s="701"/>
      <c r="N48" s="716"/>
    </row>
    <row r="49" spans="1:14" ht="16.5" customHeight="1" x14ac:dyDescent="0.25">
      <c r="A49" s="203"/>
      <c r="B49" s="256"/>
      <c r="C49" s="720" t="s">
        <v>981</v>
      </c>
      <c r="D49" s="719" t="s">
        <v>980</v>
      </c>
      <c r="E49" s="718"/>
      <c r="K49" s="717"/>
      <c r="L49" s="715"/>
      <c r="M49" s="701"/>
      <c r="N49" s="714"/>
    </row>
    <row r="50" spans="1:14" ht="16.5" customHeight="1" x14ac:dyDescent="0.25">
      <c r="A50" s="703" t="s">
        <v>979</v>
      </c>
      <c r="B50" s="706"/>
      <c r="C50" s="702" t="s">
        <v>958</v>
      </c>
      <c r="D50" s="705">
        <v>522</v>
      </c>
      <c r="I50" s="707"/>
      <c r="J50" s="706"/>
      <c r="K50" s="702"/>
      <c r="L50" s="705"/>
      <c r="M50" s="701"/>
      <c r="N50" s="714"/>
    </row>
    <row r="51" spans="1:14" ht="16.5" customHeight="1" x14ac:dyDescent="0.25">
      <c r="A51" s="703" t="s">
        <v>978</v>
      </c>
      <c r="B51" s="706"/>
      <c r="C51" s="702" t="s">
        <v>958</v>
      </c>
      <c r="D51" s="702">
        <v>340.68</v>
      </c>
      <c r="I51" s="707"/>
      <c r="J51" s="706"/>
      <c r="K51" s="702"/>
      <c r="L51" s="702"/>
      <c r="M51" s="701"/>
      <c r="N51" s="714"/>
    </row>
    <row r="52" spans="1:14" ht="16.5" customHeight="1" x14ac:dyDescent="0.25">
      <c r="A52" s="703" t="s">
        <v>977</v>
      </c>
      <c r="B52" s="706"/>
      <c r="C52" s="702" t="s">
        <v>958</v>
      </c>
      <c r="D52" s="702">
        <v>340.68</v>
      </c>
      <c r="I52" s="707"/>
      <c r="J52" s="706"/>
      <c r="K52" s="702"/>
      <c r="L52" s="702"/>
      <c r="M52" s="701"/>
      <c r="N52" s="714"/>
    </row>
    <row r="53" spans="1:14" ht="16.5" customHeight="1" x14ac:dyDescent="0.25">
      <c r="A53" s="703" t="s">
        <v>976</v>
      </c>
      <c r="B53" s="706"/>
      <c r="C53" s="702" t="s">
        <v>958</v>
      </c>
      <c r="D53" s="705">
        <v>475.47</v>
      </c>
      <c r="I53" s="707"/>
      <c r="J53" s="706"/>
      <c r="K53" s="701"/>
      <c r="L53" s="705"/>
      <c r="M53" s="701"/>
      <c r="N53" s="714"/>
    </row>
    <row r="54" spans="1:14" ht="16.5" customHeight="1" x14ac:dyDescent="0.25">
      <c r="A54" s="703" t="s">
        <v>975</v>
      </c>
      <c r="B54" s="706"/>
      <c r="C54" s="701">
        <v>150</v>
      </c>
      <c r="D54" s="705">
        <v>160</v>
      </c>
      <c r="I54" s="256"/>
      <c r="J54" s="706"/>
      <c r="K54" s="701"/>
      <c r="L54" s="716"/>
      <c r="M54" s="701"/>
      <c r="N54" s="702"/>
    </row>
    <row r="55" spans="1:14" ht="16.5" customHeight="1" x14ac:dyDescent="0.25">
      <c r="A55" s="703" t="s">
        <v>974</v>
      </c>
      <c r="B55" s="706"/>
      <c r="C55" s="701"/>
      <c r="D55" s="705">
        <v>475.47</v>
      </c>
      <c r="I55" s="704"/>
      <c r="J55" s="706"/>
      <c r="K55" s="701"/>
      <c r="L55" s="705"/>
      <c r="M55" s="715"/>
      <c r="N55" s="715"/>
    </row>
    <row r="56" spans="1:14" ht="16.5" customHeight="1" x14ac:dyDescent="0.25">
      <c r="A56" s="703" t="s">
        <v>973</v>
      </c>
      <c r="B56" s="706"/>
      <c r="C56" s="702" t="s">
        <v>958</v>
      </c>
      <c r="D56" s="705">
        <v>522</v>
      </c>
      <c r="I56" s="704"/>
      <c r="J56" s="706"/>
      <c r="K56" s="701"/>
      <c r="L56" s="705"/>
      <c r="M56" s="715"/>
      <c r="N56" s="702"/>
    </row>
    <row r="57" spans="1:14" ht="16.5" customHeight="1" x14ac:dyDescent="0.25">
      <c r="A57" s="703" t="s">
        <v>972</v>
      </c>
      <c r="B57" s="706"/>
      <c r="C57" s="702" t="s">
        <v>958</v>
      </c>
      <c r="D57" s="705">
        <v>261</v>
      </c>
      <c r="I57" s="704"/>
      <c r="J57" s="706"/>
      <c r="K57" s="701"/>
      <c r="L57" s="702"/>
      <c r="M57" s="715"/>
      <c r="N57" s="702"/>
    </row>
    <row r="58" spans="1:14" ht="16.5" customHeight="1" x14ac:dyDescent="0.25">
      <c r="A58" s="703" t="s">
        <v>971</v>
      </c>
      <c r="B58" s="706"/>
      <c r="C58" s="702" t="s">
        <v>958</v>
      </c>
      <c r="D58" s="705">
        <v>525.1</v>
      </c>
      <c r="I58" s="707"/>
      <c r="J58" s="706"/>
      <c r="K58" s="706"/>
      <c r="L58" s="702"/>
      <c r="M58" s="715"/>
      <c r="N58" s="702"/>
    </row>
    <row r="59" spans="1:14" ht="16.5" customHeight="1" x14ac:dyDescent="0.25">
      <c r="A59" s="703" t="s">
        <v>970</v>
      </c>
      <c r="B59" s="706"/>
      <c r="C59" s="701">
        <v>326</v>
      </c>
      <c r="D59" s="705">
        <v>272</v>
      </c>
      <c r="I59" s="707"/>
      <c r="J59" s="706"/>
      <c r="K59" s="706"/>
      <c r="L59" s="702"/>
      <c r="M59" s="702"/>
      <c r="N59" s="714"/>
    </row>
    <row r="60" spans="1:14" ht="16.5" customHeight="1" x14ac:dyDescent="0.25">
      <c r="A60" s="703" t="s">
        <v>969</v>
      </c>
      <c r="B60" s="706"/>
      <c r="C60" s="702" t="s">
        <v>958</v>
      </c>
      <c r="D60" s="705">
        <v>630</v>
      </c>
      <c r="I60" s="704"/>
      <c r="J60" s="706"/>
      <c r="K60" s="706"/>
      <c r="L60" s="702"/>
    </row>
    <row r="61" spans="1:14" x14ac:dyDescent="0.25">
      <c r="A61" s="703" t="s">
        <v>968</v>
      </c>
      <c r="B61" s="706"/>
      <c r="C61" s="701">
        <v>221</v>
      </c>
      <c r="D61" s="713">
        <v>366</v>
      </c>
      <c r="I61" s="704"/>
      <c r="J61" s="706"/>
      <c r="K61" s="702"/>
      <c r="L61" s="705"/>
    </row>
    <row r="62" spans="1:14" s="272" customFormat="1" x14ac:dyDescent="0.25">
      <c r="A62" s="712" t="s">
        <v>967</v>
      </c>
      <c r="B62" s="710"/>
      <c r="C62" s="701">
        <v>321</v>
      </c>
      <c r="D62" s="709">
        <v>293</v>
      </c>
      <c r="I62" s="711"/>
      <c r="J62" s="710"/>
      <c r="K62" s="702"/>
      <c r="L62" s="709"/>
    </row>
    <row r="63" spans="1:14" ht="51.75" customHeight="1" x14ac:dyDescent="0.25">
      <c r="A63" s="703" t="s">
        <v>966</v>
      </c>
      <c r="B63" s="708"/>
      <c r="C63" s="701">
        <v>331</v>
      </c>
      <c r="D63" s="702" t="s">
        <v>958</v>
      </c>
      <c r="I63" s="707"/>
      <c r="J63" s="708"/>
      <c r="K63" s="702"/>
      <c r="L63" s="705"/>
    </row>
    <row r="64" spans="1:14" x14ac:dyDescent="0.25">
      <c r="A64" s="703" t="s">
        <v>965</v>
      </c>
      <c r="B64" s="706"/>
      <c r="C64" s="701">
        <v>107</v>
      </c>
      <c r="D64" s="702" t="s">
        <v>958</v>
      </c>
      <c r="I64" s="707"/>
      <c r="J64" s="706"/>
      <c r="K64" s="702"/>
      <c r="L64" s="705"/>
    </row>
    <row r="65" spans="1:4" x14ac:dyDescent="0.25">
      <c r="A65" s="703" t="s">
        <v>964</v>
      </c>
      <c r="B65" s="704"/>
      <c r="C65" s="701">
        <v>184</v>
      </c>
      <c r="D65" s="702" t="s">
        <v>963</v>
      </c>
    </row>
    <row r="66" spans="1:4" x14ac:dyDescent="0.25">
      <c r="A66" s="703" t="s">
        <v>962</v>
      </c>
      <c r="C66" s="701">
        <v>116</v>
      </c>
      <c r="D66" s="702" t="s">
        <v>958</v>
      </c>
    </row>
    <row r="67" spans="1:4" x14ac:dyDescent="0.25">
      <c r="A67" s="703" t="s">
        <v>961</v>
      </c>
      <c r="C67" s="701">
        <v>1221</v>
      </c>
      <c r="D67" s="702" t="s">
        <v>958</v>
      </c>
    </row>
    <row r="68" spans="1:4" x14ac:dyDescent="0.25">
      <c r="A68" s="703" t="s">
        <v>960</v>
      </c>
      <c r="C68" s="701">
        <v>525.1</v>
      </c>
      <c r="D68" s="702" t="s">
        <v>958</v>
      </c>
    </row>
    <row r="69" spans="1:4" x14ac:dyDescent="0.25">
      <c r="A69" s="703" t="s">
        <v>959</v>
      </c>
      <c r="C69" s="701">
        <v>525.1</v>
      </c>
      <c r="D69" s="702" t="s">
        <v>958</v>
      </c>
    </row>
    <row r="70" spans="1:4" x14ac:dyDescent="0.25">
      <c r="C70" s="701"/>
      <c r="D70" s="701"/>
    </row>
    <row r="71" spans="1:4" x14ac:dyDescent="0.25">
      <c r="C71" s="701"/>
      <c r="D71" s="701"/>
    </row>
  </sheetData>
  <mergeCells count="24">
    <mergeCell ref="D17:D21"/>
    <mergeCell ref="B23:C23"/>
    <mergeCell ref="A24:A29"/>
    <mergeCell ref="D25:D29"/>
    <mergeCell ref="E25:E29"/>
    <mergeCell ref="A7:E7"/>
    <mergeCell ref="A8:A9"/>
    <mergeCell ref="A10:A11"/>
    <mergeCell ref="A42:A43"/>
    <mergeCell ref="D42:D43"/>
    <mergeCell ref="A40:A41"/>
    <mergeCell ref="D40:D41"/>
    <mergeCell ref="B15:C15"/>
    <mergeCell ref="A16:A21"/>
    <mergeCell ref="A45:A46"/>
    <mergeCell ref="D45:D46"/>
    <mergeCell ref="A1:E1"/>
    <mergeCell ref="A2:E2"/>
    <mergeCell ref="A3:E3"/>
    <mergeCell ref="D33:D35"/>
    <mergeCell ref="A36:A37"/>
    <mergeCell ref="D36:D37"/>
    <mergeCell ref="A38:A39"/>
    <mergeCell ref="D38:D39"/>
  </mergeCells>
  <printOptions horizontalCentered="1"/>
  <pageMargins left="0.39370078740157483" right="0.19685039370078741" top="0.35433070866141736" bottom="0.31" header="0.31496062992125984" footer="0.17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opLeftCell="A7" workbookViewId="0">
      <selection activeCell="E22" sqref="E22"/>
    </sheetView>
  </sheetViews>
  <sheetFormatPr defaultColWidth="9.140625" defaultRowHeight="15" x14ac:dyDescent="0.25"/>
  <cols>
    <col min="1" max="1" width="43.5703125" style="256" customWidth="1"/>
    <col min="2" max="2" width="12.140625" style="256" customWidth="1"/>
    <col min="3" max="3" width="18.42578125" style="256" customWidth="1"/>
    <col min="4" max="4" width="12.85546875" style="256" customWidth="1"/>
    <col min="5" max="16384" width="9.140625" style="256"/>
  </cols>
  <sheetData>
    <row r="1" spans="1:4" x14ac:dyDescent="0.25">
      <c r="A1" s="117"/>
      <c r="B1" s="117"/>
      <c r="C1" s="674" t="s">
        <v>436</v>
      </c>
      <c r="D1" s="674"/>
    </row>
    <row r="2" spans="1:4" x14ac:dyDescent="0.25">
      <c r="A2" s="637" t="s">
        <v>364</v>
      </c>
      <c r="B2" s="637"/>
      <c r="C2" s="637"/>
      <c r="D2" s="637"/>
    </row>
    <row r="3" spans="1:4" x14ac:dyDescent="0.25">
      <c r="A3" s="206" t="s">
        <v>365</v>
      </c>
      <c r="B3" s="266"/>
      <c r="C3" s="266"/>
      <c r="D3" s="266"/>
    </row>
    <row r="4" spans="1:4" x14ac:dyDescent="0.25">
      <c r="A4" s="207"/>
      <c r="B4" s="207"/>
      <c r="C4" s="207"/>
      <c r="D4" s="207"/>
    </row>
    <row r="5" spans="1:4" ht="30" customHeight="1" x14ac:dyDescent="0.25">
      <c r="A5" s="675" t="s">
        <v>648</v>
      </c>
      <c r="B5" s="675"/>
      <c r="C5" s="675"/>
      <c r="D5" s="675"/>
    </row>
    <row r="6" spans="1:4" x14ac:dyDescent="0.25">
      <c r="A6" s="207"/>
      <c r="B6" s="176"/>
      <c r="C6" s="176"/>
      <c r="D6" s="266"/>
    </row>
    <row r="7" spans="1:4" x14ac:dyDescent="0.25">
      <c r="A7" s="203" t="s">
        <v>366</v>
      </c>
      <c r="B7" s="177">
        <v>2500</v>
      </c>
      <c r="C7" s="176" t="s">
        <v>649</v>
      </c>
      <c r="D7" s="207"/>
    </row>
    <row r="8" spans="1:4" x14ac:dyDescent="0.25">
      <c r="A8" s="203"/>
      <c r="B8" s="177"/>
      <c r="C8" s="176"/>
      <c r="D8" s="207"/>
    </row>
    <row r="9" spans="1:4" x14ac:dyDescent="0.25">
      <c r="A9" s="203" t="s">
        <v>647</v>
      </c>
      <c r="B9" s="177"/>
      <c r="C9" s="207"/>
      <c r="D9" s="178"/>
    </row>
    <row r="10" spans="1:4" x14ac:dyDescent="0.25">
      <c r="A10" s="203" t="s">
        <v>646</v>
      </c>
      <c r="B10" s="177">
        <v>2500</v>
      </c>
      <c r="C10" s="176" t="s">
        <v>649</v>
      </c>
      <c r="D10" s="178"/>
    </row>
    <row r="11" spans="1:4" x14ac:dyDescent="0.25">
      <c r="A11" s="256" t="s">
        <v>367</v>
      </c>
      <c r="B11" s="177">
        <v>12000</v>
      </c>
      <c r="C11" s="176" t="s">
        <v>368</v>
      </c>
      <c r="D11" s="178"/>
    </row>
    <row r="12" spans="1:4" x14ac:dyDescent="0.25">
      <c r="B12" s="177"/>
      <c r="C12" s="176"/>
      <c r="D12" s="178"/>
    </row>
    <row r="13" spans="1:4" x14ac:dyDescent="0.25">
      <c r="A13" s="203" t="s">
        <v>369</v>
      </c>
      <c r="B13" s="177">
        <v>3500</v>
      </c>
      <c r="C13" s="176" t="s">
        <v>649</v>
      </c>
      <c r="D13" s="178"/>
    </row>
    <row r="14" spans="1:4" x14ac:dyDescent="0.25">
      <c r="A14" s="203"/>
      <c r="B14" s="177"/>
      <c r="C14" s="207"/>
      <c r="D14" s="178"/>
    </row>
    <row r="15" spans="1:4" x14ac:dyDescent="0.25">
      <c r="A15" s="203" t="s">
        <v>650</v>
      </c>
      <c r="B15" s="177">
        <v>4700</v>
      </c>
      <c r="C15" s="176" t="s">
        <v>651</v>
      </c>
      <c r="D15" s="353" t="s">
        <v>83</v>
      </c>
    </row>
    <row r="16" spans="1:4" s="209" customFormat="1" x14ac:dyDescent="0.25">
      <c r="A16" s="203"/>
      <c r="B16" s="214"/>
      <c r="C16" s="171"/>
      <c r="D16" s="208"/>
    </row>
    <row r="17" spans="1:4" s="209" customFormat="1" x14ac:dyDescent="0.25">
      <c r="A17" s="203" t="s">
        <v>645</v>
      </c>
      <c r="B17" s="177">
        <v>3300</v>
      </c>
      <c r="C17" s="176" t="s">
        <v>649</v>
      </c>
      <c r="D17" s="208"/>
    </row>
    <row r="18" spans="1:4" x14ac:dyDescent="0.25">
      <c r="A18" s="207"/>
      <c r="B18" s="178"/>
      <c r="C18" s="207"/>
      <c r="D18" s="207"/>
    </row>
    <row r="19" spans="1:4" x14ac:dyDescent="0.25">
      <c r="A19" s="207"/>
      <c r="B19" s="178"/>
      <c r="C19" s="207"/>
      <c r="D19" s="207"/>
    </row>
    <row r="20" spans="1:4" x14ac:dyDescent="0.25">
      <c r="A20" s="179" t="s">
        <v>371</v>
      </c>
      <c r="B20" s="178"/>
      <c r="C20" s="256" t="s">
        <v>372</v>
      </c>
      <c r="D20" s="207"/>
    </row>
    <row r="21" spans="1:4" x14ac:dyDescent="0.25">
      <c r="A21" s="207"/>
      <c r="B21" s="207"/>
      <c r="C21" s="207"/>
      <c r="D21" s="207"/>
    </row>
    <row r="22" spans="1:4" ht="15" customHeight="1" x14ac:dyDescent="0.25">
      <c r="A22" s="673" t="s">
        <v>457</v>
      </c>
      <c r="B22" s="673"/>
      <c r="C22" s="673"/>
      <c r="D22" s="673"/>
    </row>
    <row r="23" spans="1:4" x14ac:dyDescent="0.25">
      <c r="A23" s="205" t="s">
        <v>652</v>
      </c>
      <c r="B23" s="207"/>
      <c r="C23" s="207"/>
      <c r="D23" s="207"/>
    </row>
    <row r="25" spans="1:4" x14ac:dyDescent="0.25">
      <c r="A25" s="256" t="s">
        <v>373</v>
      </c>
      <c r="B25" s="207"/>
      <c r="C25" s="207"/>
      <c r="D25" s="207"/>
    </row>
    <row r="27" spans="1:4" ht="15" customHeight="1" x14ac:dyDescent="0.25">
      <c r="A27" s="673" t="s">
        <v>952</v>
      </c>
      <c r="B27" s="673"/>
      <c r="C27" s="673"/>
      <c r="D27" s="673"/>
    </row>
    <row r="28" spans="1:4" x14ac:dyDescent="0.25">
      <c r="A28" s="673" t="s">
        <v>657</v>
      </c>
      <c r="B28" s="673"/>
      <c r="C28" s="673"/>
      <c r="D28" s="673"/>
    </row>
    <row r="30" spans="1:4" x14ac:dyDescent="0.25">
      <c r="A30" s="673"/>
    </row>
    <row r="31" spans="1:4" x14ac:dyDescent="0.25">
      <c r="A31" s="673"/>
    </row>
  </sheetData>
  <mergeCells count="7">
    <mergeCell ref="A30:A31"/>
    <mergeCell ref="C1:D1"/>
    <mergeCell ref="A2:D2"/>
    <mergeCell ref="A5:D5"/>
    <mergeCell ref="A22:D22"/>
    <mergeCell ref="A27:D27"/>
    <mergeCell ref="A28:D28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topLeftCell="A43" workbookViewId="0">
      <selection activeCell="H3" sqref="H3"/>
    </sheetView>
  </sheetViews>
  <sheetFormatPr defaultColWidth="9.140625" defaultRowHeight="15" x14ac:dyDescent="0.25"/>
  <cols>
    <col min="1" max="1" width="16.28515625" style="502" customWidth="1"/>
    <col min="2" max="2" width="32.7109375" style="502" bestFit="1" customWidth="1"/>
    <col min="3" max="3" width="22.140625" style="502" bestFit="1" customWidth="1"/>
    <col min="4" max="4" width="13.140625" style="501" bestFit="1" customWidth="1"/>
    <col min="5" max="5" width="16" style="501" bestFit="1" customWidth="1"/>
    <col min="6" max="6" width="21.5703125" style="502" bestFit="1" customWidth="1"/>
    <col min="7" max="16384" width="9.140625" style="502"/>
  </cols>
  <sheetData>
    <row r="1" spans="1:6" ht="29.25" customHeight="1" thickBot="1" x14ac:dyDescent="0.3">
      <c r="A1" s="683" t="s">
        <v>932</v>
      </c>
      <c r="B1" s="683"/>
      <c r="C1" s="683"/>
      <c r="D1" s="683"/>
      <c r="E1" s="683"/>
      <c r="F1" s="683"/>
    </row>
    <row r="2" spans="1:6" s="501" customFormat="1" ht="33" thickTop="1" thickBot="1" x14ac:dyDescent="0.3">
      <c r="A2" s="545" t="s">
        <v>789</v>
      </c>
      <c r="B2" s="546" t="s">
        <v>790</v>
      </c>
      <c r="C2" s="546" t="s">
        <v>791</v>
      </c>
      <c r="D2" s="546" t="s">
        <v>792</v>
      </c>
      <c r="E2" s="547" t="s">
        <v>793</v>
      </c>
      <c r="F2" s="547" t="s">
        <v>794</v>
      </c>
    </row>
    <row r="3" spans="1:6" ht="17.25" thickTop="1" thickBot="1" x14ac:dyDescent="0.3">
      <c r="A3" s="679" t="s">
        <v>795</v>
      </c>
      <c r="B3" s="679"/>
      <c r="C3" s="679"/>
      <c r="D3" s="679"/>
      <c r="E3" s="679"/>
      <c r="F3" s="544"/>
    </row>
    <row r="4" spans="1:6" ht="15.75" thickTop="1" x14ac:dyDescent="0.25">
      <c r="A4" s="676" t="s">
        <v>796</v>
      </c>
      <c r="B4" s="503" t="s">
        <v>797</v>
      </c>
      <c r="C4" s="504" t="s">
        <v>798</v>
      </c>
      <c r="D4" s="505">
        <v>2</v>
      </c>
      <c r="E4" s="506" t="s">
        <v>799</v>
      </c>
      <c r="F4" s="507" t="s">
        <v>374</v>
      </c>
    </row>
    <row r="5" spans="1:6" x14ac:dyDescent="0.25">
      <c r="A5" s="677"/>
      <c r="B5" s="508" t="s">
        <v>800</v>
      </c>
      <c r="C5" s="509" t="s">
        <v>801</v>
      </c>
      <c r="D5" s="510">
        <v>2</v>
      </c>
      <c r="E5" s="511" t="s">
        <v>799</v>
      </c>
      <c r="F5" s="512" t="s">
        <v>374</v>
      </c>
    </row>
    <row r="6" spans="1:6" x14ac:dyDescent="0.25">
      <c r="A6" s="677"/>
      <c r="B6" s="508" t="s">
        <v>802</v>
      </c>
      <c r="C6" s="509" t="s">
        <v>803</v>
      </c>
      <c r="D6" s="510">
        <v>1</v>
      </c>
      <c r="E6" s="511" t="s">
        <v>804</v>
      </c>
      <c r="F6" s="512" t="s">
        <v>374</v>
      </c>
    </row>
    <row r="7" spans="1:6" x14ac:dyDescent="0.25">
      <c r="A7" s="677"/>
      <c r="B7" s="508"/>
      <c r="C7" s="509" t="s">
        <v>805</v>
      </c>
      <c r="D7" s="510">
        <v>1</v>
      </c>
      <c r="E7" s="511" t="s">
        <v>806</v>
      </c>
      <c r="F7" s="512" t="s">
        <v>807</v>
      </c>
    </row>
    <row r="8" spans="1:6" x14ac:dyDescent="0.25">
      <c r="A8" s="677"/>
      <c r="B8" s="508"/>
      <c r="C8" s="509" t="s">
        <v>808</v>
      </c>
      <c r="D8" s="510">
        <v>1</v>
      </c>
      <c r="E8" s="511" t="s">
        <v>799</v>
      </c>
      <c r="F8" s="512" t="s">
        <v>809</v>
      </c>
    </row>
    <row r="9" spans="1:6" ht="15.75" thickBot="1" x14ac:dyDescent="0.3">
      <c r="A9" s="678"/>
      <c r="B9" s="513"/>
      <c r="C9" s="514" t="s">
        <v>810</v>
      </c>
      <c r="D9" s="515">
        <v>5</v>
      </c>
      <c r="E9" s="516" t="s">
        <v>799</v>
      </c>
      <c r="F9" s="517" t="s">
        <v>374</v>
      </c>
    </row>
    <row r="10" spans="1:6" ht="15.75" thickTop="1" x14ac:dyDescent="0.25">
      <c r="A10" s="676" t="s">
        <v>811</v>
      </c>
      <c r="B10" s="503" t="s">
        <v>787</v>
      </c>
      <c r="C10" s="504" t="s">
        <v>798</v>
      </c>
      <c r="D10" s="505">
        <v>2</v>
      </c>
      <c r="E10" s="506" t="s">
        <v>812</v>
      </c>
      <c r="F10" s="507" t="s">
        <v>374</v>
      </c>
    </row>
    <row r="11" spans="1:6" x14ac:dyDescent="0.25">
      <c r="A11" s="677"/>
      <c r="B11" s="508" t="s">
        <v>813</v>
      </c>
      <c r="C11" s="509" t="s">
        <v>801</v>
      </c>
      <c r="D11" s="510">
        <v>2</v>
      </c>
      <c r="E11" s="511" t="s">
        <v>812</v>
      </c>
      <c r="F11" s="512" t="s">
        <v>374</v>
      </c>
    </row>
    <row r="12" spans="1:6" x14ac:dyDescent="0.25">
      <c r="A12" s="677"/>
      <c r="B12" s="508"/>
      <c r="C12" s="509" t="s">
        <v>814</v>
      </c>
      <c r="D12" s="510">
        <v>1</v>
      </c>
      <c r="E12" s="511" t="s">
        <v>799</v>
      </c>
      <c r="F12" s="512" t="s">
        <v>815</v>
      </c>
    </row>
    <row r="13" spans="1:6" x14ac:dyDescent="0.25">
      <c r="A13" s="677"/>
      <c r="B13" s="508"/>
      <c r="C13" s="509" t="s">
        <v>803</v>
      </c>
      <c r="D13" s="510">
        <v>1</v>
      </c>
      <c r="E13" s="511" t="s">
        <v>812</v>
      </c>
      <c r="F13" s="512" t="s">
        <v>374</v>
      </c>
    </row>
    <row r="14" spans="1:6" x14ac:dyDescent="0.25">
      <c r="A14" s="677"/>
      <c r="B14" s="508"/>
      <c r="C14" s="509" t="s">
        <v>805</v>
      </c>
      <c r="D14" s="510">
        <v>1</v>
      </c>
      <c r="E14" s="511" t="s">
        <v>806</v>
      </c>
      <c r="F14" s="512" t="s">
        <v>816</v>
      </c>
    </row>
    <row r="15" spans="1:6" ht="15.75" thickBot="1" x14ac:dyDescent="0.3">
      <c r="A15" s="678"/>
      <c r="B15" s="513"/>
      <c r="C15" s="514" t="s">
        <v>810</v>
      </c>
      <c r="D15" s="515">
        <v>5</v>
      </c>
      <c r="E15" s="516" t="s">
        <v>799</v>
      </c>
      <c r="F15" s="517" t="s">
        <v>374</v>
      </c>
    </row>
    <row r="16" spans="1:6" ht="15.75" thickTop="1" x14ac:dyDescent="0.25">
      <c r="A16" s="676" t="s">
        <v>817</v>
      </c>
      <c r="B16" s="503" t="s">
        <v>818</v>
      </c>
      <c r="C16" s="504" t="s">
        <v>798</v>
      </c>
      <c r="D16" s="505">
        <v>2</v>
      </c>
      <c r="E16" s="506" t="s">
        <v>799</v>
      </c>
      <c r="F16" s="507" t="s">
        <v>374</v>
      </c>
    </row>
    <row r="17" spans="1:6" x14ac:dyDescent="0.25">
      <c r="A17" s="677"/>
      <c r="B17" s="508"/>
      <c r="C17" s="509" t="s">
        <v>801</v>
      </c>
      <c r="D17" s="510">
        <v>2</v>
      </c>
      <c r="E17" s="511" t="s">
        <v>799</v>
      </c>
      <c r="F17" s="512" t="s">
        <v>374</v>
      </c>
    </row>
    <row r="18" spans="1:6" x14ac:dyDescent="0.25">
      <c r="A18" s="677"/>
      <c r="B18" s="508"/>
      <c r="C18" s="509" t="s">
        <v>803</v>
      </c>
      <c r="D18" s="510">
        <v>1</v>
      </c>
      <c r="E18" s="511" t="s">
        <v>812</v>
      </c>
      <c r="F18" s="512" t="s">
        <v>374</v>
      </c>
    </row>
    <row r="19" spans="1:6" x14ac:dyDescent="0.25">
      <c r="A19" s="677"/>
      <c r="B19" s="508"/>
      <c r="C19" s="509" t="s">
        <v>805</v>
      </c>
      <c r="D19" s="510">
        <v>1</v>
      </c>
      <c r="E19" s="511" t="s">
        <v>806</v>
      </c>
      <c r="F19" s="512" t="s">
        <v>816</v>
      </c>
    </row>
    <row r="20" spans="1:6" ht="15.75" thickBot="1" x14ac:dyDescent="0.3">
      <c r="A20" s="678"/>
      <c r="B20" s="513"/>
      <c r="C20" s="514" t="s">
        <v>810</v>
      </c>
      <c r="D20" s="515">
        <v>5</v>
      </c>
      <c r="E20" s="516" t="s">
        <v>799</v>
      </c>
      <c r="F20" s="517" t="s">
        <v>374</v>
      </c>
    </row>
    <row r="21" spans="1:6" ht="15.75" thickTop="1" x14ac:dyDescent="0.25">
      <c r="A21" s="676" t="s">
        <v>819</v>
      </c>
      <c r="B21" s="504" t="s">
        <v>820</v>
      </c>
      <c r="C21" s="504" t="s">
        <v>798</v>
      </c>
      <c r="D21" s="505">
        <v>2</v>
      </c>
      <c r="E21" s="506" t="s">
        <v>812</v>
      </c>
      <c r="F21" s="507" t="s">
        <v>374</v>
      </c>
    </row>
    <row r="22" spans="1:6" x14ac:dyDescent="0.25">
      <c r="A22" s="677"/>
      <c r="B22" s="508"/>
      <c r="C22" s="509" t="s">
        <v>801</v>
      </c>
      <c r="D22" s="510">
        <v>2</v>
      </c>
      <c r="E22" s="511" t="s">
        <v>812</v>
      </c>
      <c r="F22" s="512" t="s">
        <v>374</v>
      </c>
    </row>
    <row r="23" spans="1:6" x14ac:dyDescent="0.25">
      <c r="A23" s="677"/>
      <c r="B23" s="508"/>
      <c r="C23" s="509" t="s">
        <v>803</v>
      </c>
      <c r="D23" s="510">
        <v>1</v>
      </c>
      <c r="E23" s="511" t="s">
        <v>812</v>
      </c>
      <c r="F23" s="512" t="s">
        <v>374</v>
      </c>
    </row>
    <row r="24" spans="1:6" ht="15.75" thickBot="1" x14ac:dyDescent="0.3">
      <c r="A24" s="678"/>
      <c r="B24" s="513"/>
      <c r="C24" s="514" t="s">
        <v>810</v>
      </c>
      <c r="D24" s="515">
        <v>5</v>
      </c>
      <c r="E24" s="516" t="s">
        <v>799</v>
      </c>
      <c r="F24" s="517" t="s">
        <v>374</v>
      </c>
    </row>
    <row r="25" spans="1:6" ht="15.75" thickTop="1" x14ac:dyDescent="0.25">
      <c r="A25" s="676" t="s">
        <v>821</v>
      </c>
      <c r="B25" s="503" t="s">
        <v>822</v>
      </c>
      <c r="C25" s="504" t="s">
        <v>798</v>
      </c>
      <c r="D25" s="505">
        <v>2</v>
      </c>
      <c r="E25" s="506" t="s">
        <v>812</v>
      </c>
      <c r="F25" s="507" t="s">
        <v>374</v>
      </c>
    </row>
    <row r="26" spans="1:6" x14ac:dyDescent="0.25">
      <c r="A26" s="677"/>
      <c r="B26" s="508"/>
      <c r="C26" s="509" t="s">
        <v>801</v>
      </c>
      <c r="D26" s="510">
        <v>2</v>
      </c>
      <c r="E26" s="511" t="s">
        <v>812</v>
      </c>
      <c r="F26" s="512" t="s">
        <v>374</v>
      </c>
    </row>
    <row r="27" spans="1:6" x14ac:dyDescent="0.25">
      <c r="A27" s="677"/>
      <c r="B27" s="508"/>
      <c r="C27" s="509" t="s">
        <v>803</v>
      </c>
      <c r="D27" s="510">
        <v>1</v>
      </c>
      <c r="E27" s="511" t="s">
        <v>812</v>
      </c>
      <c r="F27" s="512" t="s">
        <v>374</v>
      </c>
    </row>
    <row r="28" spans="1:6" x14ac:dyDescent="0.25">
      <c r="A28" s="677"/>
      <c r="B28" s="508"/>
      <c r="C28" s="509" t="s">
        <v>823</v>
      </c>
      <c r="D28" s="510">
        <v>2</v>
      </c>
      <c r="E28" s="511" t="s">
        <v>799</v>
      </c>
      <c r="F28" s="512" t="s">
        <v>824</v>
      </c>
    </row>
    <row r="29" spans="1:6" ht="15.75" thickBot="1" x14ac:dyDescent="0.3">
      <c r="A29" s="678"/>
      <c r="B29" s="513"/>
      <c r="C29" s="514" t="s">
        <v>810</v>
      </c>
      <c r="D29" s="515">
        <v>5</v>
      </c>
      <c r="E29" s="516" t="s">
        <v>799</v>
      </c>
      <c r="F29" s="517" t="s">
        <v>374</v>
      </c>
    </row>
    <row r="30" spans="1:6" ht="15.75" thickTop="1" x14ac:dyDescent="0.25">
      <c r="A30" s="676" t="s">
        <v>825</v>
      </c>
      <c r="B30" s="502" t="s">
        <v>826</v>
      </c>
      <c r="C30" s="504" t="s">
        <v>798</v>
      </c>
      <c r="D30" s="505">
        <v>1</v>
      </c>
      <c r="E30" s="506" t="s">
        <v>799</v>
      </c>
      <c r="F30" s="507" t="s">
        <v>374</v>
      </c>
    </row>
    <row r="31" spans="1:6" x14ac:dyDescent="0.25">
      <c r="A31" s="677"/>
      <c r="B31" s="508"/>
      <c r="C31" s="509" t="s">
        <v>801</v>
      </c>
      <c r="D31" s="510">
        <v>1</v>
      </c>
      <c r="E31" s="511" t="s">
        <v>799</v>
      </c>
      <c r="F31" s="512" t="s">
        <v>374</v>
      </c>
    </row>
    <row r="32" spans="1:6" x14ac:dyDescent="0.25">
      <c r="A32" s="677"/>
      <c r="B32" s="508"/>
      <c r="C32" s="509" t="s">
        <v>814</v>
      </c>
      <c r="D32" s="510">
        <v>1</v>
      </c>
      <c r="E32" s="511" t="s">
        <v>827</v>
      </c>
      <c r="F32" s="512" t="s">
        <v>815</v>
      </c>
    </row>
    <row r="33" spans="1:6" x14ac:dyDescent="0.25">
      <c r="A33" s="677"/>
      <c r="B33" s="508"/>
      <c r="C33" s="509" t="s">
        <v>803</v>
      </c>
      <c r="D33" s="510">
        <v>1</v>
      </c>
      <c r="E33" s="511" t="s">
        <v>804</v>
      </c>
      <c r="F33" s="512" t="s">
        <v>374</v>
      </c>
    </row>
    <row r="34" spans="1:6" x14ac:dyDescent="0.25">
      <c r="A34" s="677"/>
      <c r="B34" s="508"/>
      <c r="C34" s="509" t="s">
        <v>805</v>
      </c>
      <c r="D34" s="510">
        <v>1</v>
      </c>
      <c r="E34" s="511" t="s">
        <v>806</v>
      </c>
      <c r="F34" s="512" t="s">
        <v>816</v>
      </c>
    </row>
    <row r="35" spans="1:6" x14ac:dyDescent="0.25">
      <c r="A35" s="677"/>
      <c r="B35" s="508"/>
      <c r="C35" s="509" t="s">
        <v>808</v>
      </c>
      <c r="D35" s="510">
        <v>1</v>
      </c>
      <c r="E35" s="511" t="s">
        <v>799</v>
      </c>
      <c r="F35" s="512" t="s">
        <v>809</v>
      </c>
    </row>
    <row r="36" spans="1:6" ht="15.75" thickBot="1" x14ac:dyDescent="0.3">
      <c r="A36" s="678"/>
      <c r="B36" s="513"/>
      <c r="C36" s="514" t="s">
        <v>810</v>
      </c>
      <c r="D36" s="515">
        <v>5</v>
      </c>
      <c r="E36" s="516" t="s">
        <v>799</v>
      </c>
      <c r="F36" s="517" t="s">
        <v>374</v>
      </c>
    </row>
    <row r="37" spans="1:6" ht="15.75" thickTop="1" x14ac:dyDescent="0.25">
      <c r="A37" s="676" t="s">
        <v>828</v>
      </c>
      <c r="B37" s="503" t="s">
        <v>829</v>
      </c>
      <c r="C37" s="504" t="s">
        <v>798</v>
      </c>
      <c r="D37" s="505">
        <v>2</v>
      </c>
      <c r="E37" s="506" t="s">
        <v>806</v>
      </c>
      <c r="F37" s="507" t="s">
        <v>374</v>
      </c>
    </row>
    <row r="38" spans="1:6" x14ac:dyDescent="0.25">
      <c r="A38" s="677"/>
      <c r="B38" s="508"/>
      <c r="C38" s="509" t="s">
        <v>801</v>
      </c>
      <c r="D38" s="510">
        <v>2</v>
      </c>
      <c r="E38" s="511" t="s">
        <v>806</v>
      </c>
      <c r="F38" s="512" t="s">
        <v>374</v>
      </c>
    </row>
    <row r="39" spans="1:6" x14ac:dyDescent="0.25">
      <c r="A39" s="677"/>
      <c r="B39" s="508"/>
      <c r="C39" s="509" t="s">
        <v>814</v>
      </c>
      <c r="D39" s="510">
        <v>1</v>
      </c>
      <c r="E39" s="511" t="s">
        <v>812</v>
      </c>
      <c r="F39" s="512" t="s">
        <v>815</v>
      </c>
    </row>
    <row r="40" spans="1:6" x14ac:dyDescent="0.25">
      <c r="A40" s="677"/>
      <c r="B40" s="508"/>
      <c r="C40" s="509" t="s">
        <v>803</v>
      </c>
      <c r="D40" s="510">
        <v>1</v>
      </c>
      <c r="E40" s="511" t="s">
        <v>812</v>
      </c>
      <c r="F40" s="512" t="s">
        <v>374</v>
      </c>
    </row>
    <row r="41" spans="1:6" ht="15.75" thickBot="1" x14ac:dyDescent="0.3">
      <c r="A41" s="678"/>
      <c r="B41" s="513"/>
      <c r="C41" s="514" t="s">
        <v>810</v>
      </c>
      <c r="D41" s="515">
        <v>5</v>
      </c>
      <c r="E41" s="516" t="s">
        <v>799</v>
      </c>
      <c r="F41" s="517" t="s">
        <v>374</v>
      </c>
    </row>
    <row r="42" spans="1:6" ht="15.75" thickTop="1" x14ac:dyDescent="0.25">
      <c r="A42" s="680" t="s">
        <v>830</v>
      </c>
      <c r="B42" s="503" t="s">
        <v>831</v>
      </c>
      <c r="C42" s="504" t="s">
        <v>798</v>
      </c>
      <c r="D42" s="505">
        <v>1</v>
      </c>
      <c r="E42" s="506" t="s">
        <v>799</v>
      </c>
      <c r="F42" s="507" t="s">
        <v>374</v>
      </c>
    </row>
    <row r="43" spans="1:6" x14ac:dyDescent="0.25">
      <c r="A43" s="684"/>
      <c r="B43" s="508"/>
      <c r="C43" s="509" t="s">
        <v>801</v>
      </c>
      <c r="D43" s="510">
        <v>1</v>
      </c>
      <c r="E43" s="511" t="s">
        <v>799</v>
      </c>
      <c r="F43" s="512" t="s">
        <v>374</v>
      </c>
    </row>
    <row r="44" spans="1:6" x14ac:dyDescent="0.25">
      <c r="A44" s="684"/>
      <c r="B44" s="508"/>
      <c r="C44" s="509" t="s">
        <v>803</v>
      </c>
      <c r="D44" s="510">
        <v>1</v>
      </c>
      <c r="E44" s="511" t="s">
        <v>812</v>
      </c>
      <c r="F44" s="512" t="s">
        <v>374</v>
      </c>
    </row>
    <row r="45" spans="1:6" x14ac:dyDescent="0.25">
      <c r="A45" s="684"/>
      <c r="B45" s="508"/>
      <c r="C45" s="509" t="s">
        <v>805</v>
      </c>
      <c r="D45" s="510">
        <v>1</v>
      </c>
      <c r="E45" s="511" t="s">
        <v>806</v>
      </c>
      <c r="F45" s="512" t="s">
        <v>816</v>
      </c>
    </row>
    <row r="46" spans="1:6" x14ac:dyDescent="0.25">
      <c r="A46" s="684"/>
      <c r="B46" s="508"/>
      <c r="C46" s="509" t="s">
        <v>832</v>
      </c>
      <c r="D46" s="510">
        <v>1</v>
      </c>
      <c r="E46" s="511" t="s">
        <v>799</v>
      </c>
      <c r="F46" s="512" t="s">
        <v>833</v>
      </c>
    </row>
    <row r="47" spans="1:6" ht="15.75" thickBot="1" x14ac:dyDescent="0.3">
      <c r="A47" s="681"/>
      <c r="B47" s="513"/>
      <c r="C47" s="514" t="s">
        <v>810</v>
      </c>
      <c r="D47" s="515">
        <v>5</v>
      </c>
      <c r="E47" s="516" t="s">
        <v>799</v>
      </c>
      <c r="F47" s="517" t="s">
        <v>374</v>
      </c>
    </row>
    <row r="48" spans="1:6" ht="15.75" thickTop="1" x14ac:dyDescent="0.25">
      <c r="A48" s="680" t="s">
        <v>834</v>
      </c>
      <c r="B48" s="503" t="s">
        <v>835</v>
      </c>
      <c r="C48" s="504" t="s">
        <v>836</v>
      </c>
      <c r="D48" s="505">
        <v>3</v>
      </c>
      <c r="E48" s="506" t="s">
        <v>799</v>
      </c>
      <c r="F48" s="507" t="s">
        <v>837</v>
      </c>
    </row>
    <row r="49" spans="1:6" x14ac:dyDescent="0.25">
      <c r="A49" s="684"/>
      <c r="B49" s="509" t="s">
        <v>838</v>
      </c>
      <c r="C49" s="509" t="s">
        <v>832</v>
      </c>
      <c r="D49" s="510">
        <v>1</v>
      </c>
      <c r="E49" s="511" t="s">
        <v>799</v>
      </c>
      <c r="F49" s="512" t="s">
        <v>833</v>
      </c>
    </row>
    <row r="50" spans="1:6" x14ac:dyDescent="0.25">
      <c r="A50" s="684"/>
      <c r="B50" s="508" t="s">
        <v>839</v>
      </c>
      <c r="C50" s="518"/>
      <c r="D50" s="519"/>
      <c r="E50" s="520"/>
      <c r="F50" s="512"/>
    </row>
    <row r="51" spans="1:6" ht="15.75" thickBot="1" x14ac:dyDescent="0.3">
      <c r="A51" s="681"/>
      <c r="B51" s="513" t="s">
        <v>840</v>
      </c>
      <c r="C51" s="513"/>
      <c r="D51" s="515"/>
      <c r="E51" s="521"/>
      <c r="F51" s="517"/>
    </row>
    <row r="52" spans="1:6" ht="15.75" thickTop="1" x14ac:dyDescent="0.25">
      <c r="A52" s="680" t="s">
        <v>841</v>
      </c>
      <c r="B52" s="503" t="s">
        <v>842</v>
      </c>
      <c r="C52" s="504" t="s">
        <v>843</v>
      </c>
      <c r="D52" s="505">
        <v>2</v>
      </c>
      <c r="E52" s="506" t="s">
        <v>799</v>
      </c>
      <c r="F52" s="507" t="s">
        <v>837</v>
      </c>
    </row>
    <row r="53" spans="1:6" ht="15.75" thickBot="1" x14ac:dyDescent="0.3">
      <c r="A53" s="681"/>
      <c r="B53" s="513"/>
      <c r="C53" s="514" t="s">
        <v>832</v>
      </c>
      <c r="D53" s="515">
        <v>1</v>
      </c>
      <c r="E53" s="516" t="s">
        <v>799</v>
      </c>
      <c r="F53" s="517" t="s">
        <v>833</v>
      </c>
    </row>
    <row r="54" spans="1:6" ht="15.75" thickTop="1" x14ac:dyDescent="0.25">
      <c r="A54" s="676" t="s">
        <v>844</v>
      </c>
      <c r="B54" s="503" t="s">
        <v>845</v>
      </c>
      <c r="C54" s="504" t="s">
        <v>798</v>
      </c>
      <c r="D54" s="505">
        <v>2</v>
      </c>
      <c r="E54" s="506" t="s">
        <v>799</v>
      </c>
      <c r="F54" s="507" t="s">
        <v>374</v>
      </c>
    </row>
    <row r="55" spans="1:6" x14ac:dyDescent="0.25">
      <c r="A55" s="677"/>
      <c r="B55" s="508" t="s">
        <v>846</v>
      </c>
      <c r="C55" s="509" t="s">
        <v>814</v>
      </c>
      <c r="D55" s="510">
        <v>1</v>
      </c>
      <c r="E55" s="511" t="s">
        <v>799</v>
      </c>
      <c r="F55" s="512" t="s">
        <v>815</v>
      </c>
    </row>
    <row r="56" spans="1:6" x14ac:dyDescent="0.25">
      <c r="A56" s="677"/>
      <c r="B56" s="508" t="s">
        <v>847</v>
      </c>
      <c r="C56" s="509" t="s">
        <v>803</v>
      </c>
      <c r="D56" s="510">
        <v>1</v>
      </c>
      <c r="E56" s="511" t="s">
        <v>812</v>
      </c>
      <c r="F56" s="512" t="s">
        <v>374</v>
      </c>
    </row>
    <row r="57" spans="1:6" ht="15.75" thickBot="1" x14ac:dyDescent="0.3">
      <c r="A57" s="678"/>
      <c r="B57" s="513"/>
      <c r="C57" s="514" t="s">
        <v>810</v>
      </c>
      <c r="D57" s="515">
        <v>5</v>
      </c>
      <c r="E57" s="516" t="s">
        <v>799</v>
      </c>
      <c r="F57" s="517" t="s">
        <v>374</v>
      </c>
    </row>
    <row r="58" spans="1:6" ht="15.75" thickTop="1" x14ac:dyDescent="0.25">
      <c r="A58" s="680" t="s">
        <v>848</v>
      </c>
      <c r="B58" s="503" t="s">
        <v>849</v>
      </c>
      <c r="C58" s="504" t="s">
        <v>843</v>
      </c>
      <c r="D58" s="505">
        <v>2</v>
      </c>
      <c r="E58" s="506" t="s">
        <v>812</v>
      </c>
      <c r="F58" s="507" t="s">
        <v>816</v>
      </c>
    </row>
    <row r="59" spans="1:6" ht="15.75" thickBot="1" x14ac:dyDescent="0.3">
      <c r="A59" s="681"/>
      <c r="B59" s="513"/>
      <c r="C59" s="514" t="s">
        <v>832</v>
      </c>
      <c r="D59" s="515">
        <v>1</v>
      </c>
      <c r="E59" s="516" t="s">
        <v>799</v>
      </c>
      <c r="F59" s="517" t="s">
        <v>833</v>
      </c>
    </row>
    <row r="60" spans="1:6" ht="15.75" thickTop="1" x14ac:dyDescent="0.25">
      <c r="A60" s="676" t="s">
        <v>850</v>
      </c>
      <c r="B60" s="503" t="s">
        <v>851</v>
      </c>
      <c r="C60" s="504" t="s">
        <v>803</v>
      </c>
      <c r="D60" s="505">
        <v>1</v>
      </c>
      <c r="E60" s="506" t="s">
        <v>812</v>
      </c>
      <c r="F60" s="507" t="s">
        <v>374</v>
      </c>
    </row>
    <row r="61" spans="1:6" ht="15.75" thickBot="1" x14ac:dyDescent="0.3">
      <c r="A61" s="678"/>
      <c r="B61" s="514" t="s">
        <v>852</v>
      </c>
      <c r="C61" s="514" t="s">
        <v>814</v>
      </c>
      <c r="D61" s="515">
        <v>1</v>
      </c>
      <c r="E61" s="516" t="s">
        <v>799</v>
      </c>
      <c r="F61" s="517" t="s">
        <v>815</v>
      </c>
    </row>
    <row r="62" spans="1:6" ht="15.75" thickTop="1" x14ac:dyDescent="0.25">
      <c r="A62" s="676" t="s">
        <v>853</v>
      </c>
      <c r="B62" s="503" t="s">
        <v>854</v>
      </c>
      <c r="C62" s="504" t="s">
        <v>798</v>
      </c>
      <c r="D62" s="505">
        <v>2</v>
      </c>
      <c r="E62" s="506" t="s">
        <v>806</v>
      </c>
      <c r="F62" s="507" t="s">
        <v>374</v>
      </c>
    </row>
    <row r="63" spans="1:6" x14ac:dyDescent="0.25">
      <c r="A63" s="677"/>
      <c r="B63" s="508" t="s">
        <v>855</v>
      </c>
      <c r="C63" s="509" t="s">
        <v>803</v>
      </c>
      <c r="D63" s="510">
        <v>1</v>
      </c>
      <c r="E63" s="511" t="s">
        <v>812</v>
      </c>
      <c r="F63" s="512" t="s">
        <v>374</v>
      </c>
    </row>
    <row r="64" spans="1:6" x14ac:dyDescent="0.25">
      <c r="A64" s="677"/>
      <c r="B64" s="508" t="s">
        <v>856</v>
      </c>
      <c r="C64" s="508"/>
      <c r="D64" s="510"/>
      <c r="E64" s="522"/>
      <c r="F64" s="512"/>
    </row>
    <row r="65" spans="1:6" ht="15.75" thickBot="1" x14ac:dyDescent="0.3">
      <c r="A65" s="678"/>
      <c r="B65" s="513" t="s">
        <v>857</v>
      </c>
      <c r="C65" s="513"/>
      <c r="D65" s="515"/>
      <c r="E65" s="521"/>
      <c r="F65" s="517"/>
    </row>
    <row r="66" spans="1:6" ht="15.75" thickTop="1" x14ac:dyDescent="0.25">
      <c r="A66" s="676" t="s">
        <v>858</v>
      </c>
      <c r="B66" s="503" t="s">
        <v>859</v>
      </c>
      <c r="C66" s="504" t="s">
        <v>860</v>
      </c>
      <c r="D66" s="505">
        <v>1</v>
      </c>
      <c r="E66" s="506" t="s">
        <v>806</v>
      </c>
      <c r="F66" s="507" t="s">
        <v>861</v>
      </c>
    </row>
    <row r="67" spans="1:6" x14ac:dyDescent="0.25">
      <c r="A67" s="677"/>
      <c r="B67" s="508"/>
      <c r="C67" s="509" t="s">
        <v>832</v>
      </c>
      <c r="D67" s="510">
        <v>1</v>
      </c>
      <c r="E67" s="511" t="s">
        <v>799</v>
      </c>
      <c r="F67" s="512" t="s">
        <v>833</v>
      </c>
    </row>
    <row r="68" spans="1:6" ht="15.75" thickBot="1" x14ac:dyDescent="0.3">
      <c r="A68" s="678"/>
      <c r="B68" s="513"/>
      <c r="C68" s="514" t="s">
        <v>862</v>
      </c>
      <c r="D68" s="515">
        <v>1</v>
      </c>
      <c r="E68" s="516" t="s">
        <v>812</v>
      </c>
      <c r="F68" s="517" t="s">
        <v>863</v>
      </c>
    </row>
    <row r="69" spans="1:6" ht="15.75" thickTop="1" x14ac:dyDescent="0.25">
      <c r="A69" s="676" t="s">
        <v>864</v>
      </c>
      <c r="B69" s="503" t="s">
        <v>865</v>
      </c>
      <c r="C69" s="504" t="s">
        <v>798</v>
      </c>
      <c r="D69" s="505">
        <v>2</v>
      </c>
      <c r="E69" s="506" t="s">
        <v>806</v>
      </c>
      <c r="F69" s="507" t="s">
        <v>374</v>
      </c>
    </row>
    <row r="70" spans="1:6" x14ac:dyDescent="0.25">
      <c r="A70" s="677"/>
      <c r="B70" s="508" t="s">
        <v>866</v>
      </c>
      <c r="C70" s="509" t="s">
        <v>801</v>
      </c>
      <c r="D70" s="510">
        <v>2</v>
      </c>
      <c r="E70" s="511" t="s">
        <v>806</v>
      </c>
      <c r="F70" s="512" t="s">
        <v>374</v>
      </c>
    </row>
    <row r="71" spans="1:6" x14ac:dyDescent="0.25">
      <c r="A71" s="677"/>
      <c r="B71" s="508"/>
      <c r="C71" s="509" t="s">
        <v>805</v>
      </c>
      <c r="D71" s="510">
        <v>1</v>
      </c>
      <c r="E71" s="511" t="s">
        <v>812</v>
      </c>
      <c r="F71" s="512" t="s">
        <v>816</v>
      </c>
    </row>
    <row r="72" spans="1:6" x14ac:dyDescent="0.25">
      <c r="A72" s="677"/>
      <c r="B72" s="508"/>
      <c r="C72" s="509" t="s">
        <v>814</v>
      </c>
      <c r="D72" s="510">
        <v>1</v>
      </c>
      <c r="E72" s="511" t="s">
        <v>799</v>
      </c>
      <c r="F72" s="512" t="s">
        <v>815</v>
      </c>
    </row>
    <row r="73" spans="1:6" x14ac:dyDescent="0.25">
      <c r="A73" s="682"/>
      <c r="B73" s="523"/>
      <c r="C73" s="518" t="s">
        <v>810</v>
      </c>
      <c r="D73" s="519">
        <v>5</v>
      </c>
      <c r="E73" s="520" t="s">
        <v>799</v>
      </c>
      <c r="F73" s="512" t="s">
        <v>374</v>
      </c>
    </row>
    <row r="74" spans="1:6" ht="15.75" thickBot="1" x14ac:dyDescent="0.3">
      <c r="A74" s="678"/>
      <c r="B74" s="513"/>
      <c r="C74" s="514" t="s">
        <v>803</v>
      </c>
      <c r="D74" s="515">
        <v>1</v>
      </c>
      <c r="E74" s="516" t="s">
        <v>812</v>
      </c>
      <c r="F74" s="517" t="s">
        <v>374</v>
      </c>
    </row>
    <row r="75" spans="1:6" ht="16.5" thickTop="1" thickBot="1" x14ac:dyDescent="0.3">
      <c r="A75" s="524"/>
      <c r="B75" s="525"/>
      <c r="C75" s="526"/>
      <c r="D75" s="527"/>
      <c r="E75" s="528"/>
      <c r="F75" s="507"/>
    </row>
    <row r="76" spans="1:6" ht="17.25" thickTop="1" thickBot="1" x14ac:dyDescent="0.3">
      <c r="A76" s="685" t="s">
        <v>867</v>
      </c>
      <c r="B76" s="685"/>
      <c r="C76" s="685"/>
      <c r="D76" s="685"/>
      <c r="E76" s="685"/>
      <c r="F76" s="507"/>
    </row>
    <row r="77" spans="1:6" ht="15.75" thickTop="1" x14ac:dyDescent="0.25">
      <c r="A77" s="676" t="s">
        <v>868</v>
      </c>
      <c r="B77" s="503" t="s">
        <v>869</v>
      </c>
      <c r="C77" s="504" t="s">
        <v>798</v>
      </c>
      <c r="D77" s="505">
        <v>3</v>
      </c>
      <c r="E77" s="506" t="s">
        <v>799</v>
      </c>
      <c r="F77" s="507" t="s">
        <v>374</v>
      </c>
    </row>
    <row r="78" spans="1:6" x14ac:dyDescent="0.25">
      <c r="A78" s="677"/>
      <c r="B78" s="508" t="s">
        <v>870</v>
      </c>
      <c r="C78" s="509" t="s">
        <v>814</v>
      </c>
      <c r="D78" s="510">
        <v>1</v>
      </c>
      <c r="E78" s="511" t="s">
        <v>799</v>
      </c>
      <c r="F78" s="512" t="s">
        <v>871</v>
      </c>
    </row>
    <row r="79" spans="1:6" x14ac:dyDescent="0.25">
      <c r="A79" s="677"/>
      <c r="B79" s="508" t="s">
        <v>872</v>
      </c>
      <c r="C79" s="509" t="s">
        <v>803</v>
      </c>
      <c r="D79" s="510">
        <v>1</v>
      </c>
      <c r="E79" s="511" t="s">
        <v>804</v>
      </c>
      <c r="F79" s="512" t="s">
        <v>374</v>
      </c>
    </row>
    <row r="80" spans="1:6" x14ac:dyDescent="0.25">
      <c r="A80" s="677"/>
      <c r="B80" s="508" t="s">
        <v>873</v>
      </c>
      <c r="C80" s="509" t="s">
        <v>805</v>
      </c>
      <c r="D80" s="510">
        <v>1</v>
      </c>
      <c r="E80" s="511" t="s">
        <v>806</v>
      </c>
      <c r="F80" s="512" t="s">
        <v>816</v>
      </c>
    </row>
    <row r="81" spans="1:6" x14ac:dyDescent="0.25">
      <c r="A81" s="677"/>
      <c r="B81" s="508" t="s">
        <v>874</v>
      </c>
      <c r="C81" s="509" t="s">
        <v>808</v>
      </c>
      <c r="D81" s="510">
        <v>1</v>
      </c>
      <c r="E81" s="511" t="s">
        <v>799</v>
      </c>
      <c r="F81" s="512" t="s">
        <v>809</v>
      </c>
    </row>
    <row r="82" spans="1:6" ht="15.75" thickBot="1" x14ac:dyDescent="0.3">
      <c r="A82" s="678"/>
      <c r="B82" s="508"/>
      <c r="C82" s="514" t="s">
        <v>810</v>
      </c>
      <c r="D82" s="515">
        <v>5</v>
      </c>
      <c r="E82" s="516" t="s">
        <v>799</v>
      </c>
      <c r="F82" s="517" t="s">
        <v>374</v>
      </c>
    </row>
    <row r="83" spans="1:6" ht="15.75" thickTop="1" x14ac:dyDescent="0.25">
      <c r="A83" s="676" t="s">
        <v>875</v>
      </c>
      <c r="B83" s="503" t="s">
        <v>876</v>
      </c>
      <c r="C83" s="504" t="s">
        <v>798</v>
      </c>
      <c r="D83" s="505">
        <v>3</v>
      </c>
      <c r="E83" s="506" t="s">
        <v>799</v>
      </c>
      <c r="F83" s="507" t="s">
        <v>374</v>
      </c>
    </row>
    <row r="84" spans="1:6" x14ac:dyDescent="0.25">
      <c r="A84" s="677"/>
      <c r="B84" s="508"/>
      <c r="C84" s="509" t="s">
        <v>814</v>
      </c>
      <c r="D84" s="510">
        <v>1</v>
      </c>
      <c r="E84" s="511" t="s">
        <v>827</v>
      </c>
      <c r="F84" s="512" t="s">
        <v>871</v>
      </c>
    </row>
    <row r="85" spans="1:6" x14ac:dyDescent="0.25">
      <c r="A85" s="677"/>
      <c r="B85" s="508"/>
      <c r="C85" s="509" t="s">
        <v>803</v>
      </c>
      <c r="D85" s="510">
        <v>1</v>
      </c>
      <c r="E85" s="511" t="s">
        <v>804</v>
      </c>
      <c r="F85" s="512" t="s">
        <v>374</v>
      </c>
    </row>
    <row r="86" spans="1:6" x14ac:dyDescent="0.25">
      <c r="A86" s="677"/>
      <c r="B86" s="508"/>
      <c r="C86" s="509" t="s">
        <v>805</v>
      </c>
      <c r="D86" s="510">
        <v>1</v>
      </c>
      <c r="E86" s="511" t="s">
        <v>806</v>
      </c>
      <c r="F86" s="512" t="s">
        <v>816</v>
      </c>
    </row>
    <row r="87" spans="1:6" x14ac:dyDescent="0.25">
      <c r="A87" s="677"/>
      <c r="B87" s="508"/>
      <c r="C87" s="509" t="s">
        <v>808</v>
      </c>
      <c r="D87" s="510">
        <v>1</v>
      </c>
      <c r="E87" s="511" t="s">
        <v>799</v>
      </c>
      <c r="F87" s="512" t="s">
        <v>809</v>
      </c>
    </row>
    <row r="88" spans="1:6" ht="15.75" thickBot="1" x14ac:dyDescent="0.3">
      <c r="A88" s="678"/>
      <c r="B88" s="513"/>
      <c r="C88" s="514" t="s">
        <v>810</v>
      </c>
      <c r="D88" s="515">
        <v>5</v>
      </c>
      <c r="E88" s="516" t="s">
        <v>799</v>
      </c>
      <c r="F88" s="517" t="s">
        <v>374</v>
      </c>
    </row>
    <row r="89" spans="1:6" ht="15.75" thickTop="1" x14ac:dyDescent="0.25">
      <c r="A89" s="680" t="s">
        <v>877</v>
      </c>
      <c r="B89" s="503" t="s">
        <v>878</v>
      </c>
      <c r="C89" s="504" t="s">
        <v>798</v>
      </c>
      <c r="D89" s="505">
        <v>3</v>
      </c>
      <c r="E89" s="506" t="s">
        <v>799</v>
      </c>
      <c r="F89" s="507" t="s">
        <v>374</v>
      </c>
    </row>
    <row r="90" spans="1:6" x14ac:dyDescent="0.25">
      <c r="A90" s="684"/>
      <c r="B90" s="508"/>
      <c r="C90" s="509" t="s">
        <v>803</v>
      </c>
      <c r="D90" s="510">
        <v>1</v>
      </c>
      <c r="E90" s="511" t="s">
        <v>812</v>
      </c>
      <c r="F90" s="512" t="s">
        <v>374</v>
      </c>
    </row>
    <row r="91" spans="1:6" x14ac:dyDescent="0.25">
      <c r="A91" s="684"/>
      <c r="B91" s="508"/>
      <c r="C91" s="509" t="s">
        <v>805</v>
      </c>
      <c r="D91" s="510">
        <v>1</v>
      </c>
      <c r="E91" s="511" t="s">
        <v>806</v>
      </c>
      <c r="F91" s="512" t="s">
        <v>816</v>
      </c>
    </row>
    <row r="92" spans="1:6" ht="15.75" thickBot="1" x14ac:dyDescent="0.3">
      <c r="A92" s="681"/>
      <c r="B92" s="513"/>
      <c r="C92" s="514" t="s">
        <v>810</v>
      </c>
      <c r="D92" s="515">
        <v>5</v>
      </c>
      <c r="E92" s="516" t="s">
        <v>799</v>
      </c>
      <c r="F92" s="517" t="s">
        <v>374</v>
      </c>
    </row>
    <row r="93" spans="1:6" ht="17.25" thickTop="1" thickBot="1" x14ac:dyDescent="0.3">
      <c r="A93" s="685" t="s">
        <v>879</v>
      </c>
      <c r="B93" s="685"/>
      <c r="C93" s="685"/>
      <c r="D93" s="685"/>
      <c r="E93" s="685"/>
      <c r="F93" s="507"/>
    </row>
    <row r="94" spans="1:6" ht="15.75" thickTop="1" x14ac:dyDescent="0.25">
      <c r="A94" s="686" t="s">
        <v>880</v>
      </c>
      <c r="B94" s="503" t="s">
        <v>881</v>
      </c>
      <c r="C94" s="504" t="s">
        <v>798</v>
      </c>
      <c r="D94" s="505">
        <v>2</v>
      </c>
      <c r="E94" s="506" t="s">
        <v>799</v>
      </c>
      <c r="F94" s="507" t="s">
        <v>374</v>
      </c>
    </row>
    <row r="95" spans="1:6" x14ac:dyDescent="0.25">
      <c r="A95" s="687"/>
      <c r="B95" s="508"/>
      <c r="C95" s="509" t="s">
        <v>801</v>
      </c>
      <c r="D95" s="510">
        <v>2</v>
      </c>
      <c r="E95" s="511" t="s">
        <v>799</v>
      </c>
      <c r="F95" s="512" t="s">
        <v>374</v>
      </c>
    </row>
    <row r="96" spans="1:6" x14ac:dyDescent="0.25">
      <c r="A96" s="687"/>
      <c r="B96" s="508"/>
      <c r="C96" s="509" t="s">
        <v>803</v>
      </c>
      <c r="D96" s="510">
        <v>1</v>
      </c>
      <c r="E96" s="511" t="s">
        <v>812</v>
      </c>
      <c r="F96" s="512" t="s">
        <v>374</v>
      </c>
    </row>
    <row r="97" spans="1:6" x14ac:dyDescent="0.25">
      <c r="A97" s="687"/>
      <c r="B97" s="508"/>
      <c r="C97" s="509" t="s">
        <v>882</v>
      </c>
      <c r="D97" s="510">
        <v>2</v>
      </c>
      <c r="E97" s="511" t="s">
        <v>799</v>
      </c>
      <c r="F97" s="512" t="s">
        <v>883</v>
      </c>
    </row>
    <row r="98" spans="1:6" x14ac:dyDescent="0.25">
      <c r="A98" s="687"/>
      <c r="B98" s="508"/>
      <c r="C98" s="509" t="s">
        <v>808</v>
      </c>
      <c r="D98" s="510">
        <v>2</v>
      </c>
      <c r="E98" s="511" t="s">
        <v>799</v>
      </c>
      <c r="F98" s="512" t="s">
        <v>809</v>
      </c>
    </row>
    <row r="99" spans="1:6" ht="15.75" thickBot="1" x14ac:dyDescent="0.3">
      <c r="A99" s="688"/>
      <c r="B99" s="513"/>
      <c r="C99" s="514" t="s">
        <v>810</v>
      </c>
      <c r="D99" s="515">
        <v>5</v>
      </c>
      <c r="E99" s="516" t="s">
        <v>799</v>
      </c>
      <c r="F99" s="517" t="s">
        <v>374</v>
      </c>
    </row>
    <row r="100" spans="1:6" ht="15.75" thickTop="1" x14ac:dyDescent="0.25">
      <c r="A100" s="676" t="s">
        <v>884</v>
      </c>
      <c r="B100" s="503" t="s">
        <v>885</v>
      </c>
      <c r="C100" s="504" t="s">
        <v>798</v>
      </c>
      <c r="D100" s="505">
        <v>2</v>
      </c>
      <c r="E100" s="506" t="s">
        <v>799</v>
      </c>
      <c r="F100" s="507" t="s">
        <v>374</v>
      </c>
    </row>
    <row r="101" spans="1:6" x14ac:dyDescent="0.25">
      <c r="A101" s="677"/>
      <c r="B101" s="508" t="s">
        <v>886</v>
      </c>
      <c r="C101" s="509" t="s">
        <v>801</v>
      </c>
      <c r="D101" s="510">
        <v>2</v>
      </c>
      <c r="E101" s="511" t="s">
        <v>799</v>
      </c>
      <c r="F101" s="512" t="s">
        <v>374</v>
      </c>
    </row>
    <row r="102" spans="1:6" x14ac:dyDescent="0.25">
      <c r="A102" s="677"/>
      <c r="B102" s="508" t="s">
        <v>887</v>
      </c>
      <c r="C102" s="509" t="s">
        <v>814</v>
      </c>
      <c r="D102" s="510">
        <v>1</v>
      </c>
      <c r="E102" s="511" t="s">
        <v>827</v>
      </c>
      <c r="F102" s="512" t="s">
        <v>871</v>
      </c>
    </row>
    <row r="103" spans="1:6" x14ac:dyDescent="0.25">
      <c r="A103" s="677"/>
      <c r="B103" s="508" t="s">
        <v>888</v>
      </c>
      <c r="C103" s="509" t="s">
        <v>803</v>
      </c>
      <c r="D103" s="510">
        <v>1</v>
      </c>
      <c r="E103" s="511" t="s">
        <v>812</v>
      </c>
      <c r="F103" s="512" t="s">
        <v>374</v>
      </c>
    </row>
    <row r="104" spans="1:6" x14ac:dyDescent="0.25">
      <c r="A104" s="677"/>
      <c r="B104" s="508" t="s">
        <v>889</v>
      </c>
      <c r="C104" s="509" t="s">
        <v>882</v>
      </c>
      <c r="D104" s="510">
        <v>2</v>
      </c>
      <c r="E104" s="511" t="s">
        <v>799</v>
      </c>
      <c r="F104" s="512" t="s">
        <v>883</v>
      </c>
    </row>
    <row r="105" spans="1:6" x14ac:dyDescent="0.25">
      <c r="A105" s="677"/>
      <c r="B105" s="508" t="s">
        <v>890</v>
      </c>
      <c r="C105" s="509" t="s">
        <v>808</v>
      </c>
      <c r="D105" s="510">
        <v>2</v>
      </c>
      <c r="E105" s="511" t="s">
        <v>799</v>
      </c>
      <c r="F105" s="512" t="s">
        <v>809</v>
      </c>
    </row>
    <row r="106" spans="1:6" ht="15.75" thickBot="1" x14ac:dyDescent="0.3">
      <c r="A106" s="678"/>
      <c r="B106" s="513"/>
      <c r="C106" s="514" t="s">
        <v>810</v>
      </c>
      <c r="D106" s="515">
        <v>5</v>
      </c>
      <c r="E106" s="516" t="s">
        <v>799</v>
      </c>
      <c r="F106" s="517" t="s">
        <v>374</v>
      </c>
    </row>
    <row r="107" spans="1:6" ht="15.75" thickTop="1" x14ac:dyDescent="0.25">
      <c r="A107" s="676" t="s">
        <v>891</v>
      </c>
      <c r="B107" s="503" t="s">
        <v>892</v>
      </c>
      <c r="C107" s="504" t="s">
        <v>798</v>
      </c>
      <c r="D107" s="505">
        <v>2</v>
      </c>
      <c r="E107" s="506" t="s">
        <v>812</v>
      </c>
      <c r="F107" s="507" t="s">
        <v>374</v>
      </c>
    </row>
    <row r="108" spans="1:6" x14ac:dyDescent="0.25">
      <c r="A108" s="677"/>
      <c r="B108" s="508" t="s">
        <v>893</v>
      </c>
      <c r="C108" s="509" t="s">
        <v>801</v>
      </c>
      <c r="D108" s="510">
        <v>2</v>
      </c>
      <c r="E108" s="511" t="s">
        <v>812</v>
      </c>
      <c r="F108" s="512" t="s">
        <v>374</v>
      </c>
    </row>
    <row r="109" spans="1:6" x14ac:dyDescent="0.25">
      <c r="A109" s="677"/>
      <c r="B109" s="508"/>
      <c r="C109" s="509" t="s">
        <v>814</v>
      </c>
      <c r="D109" s="510">
        <v>1</v>
      </c>
      <c r="E109" s="511" t="s">
        <v>827</v>
      </c>
      <c r="F109" s="512" t="s">
        <v>871</v>
      </c>
    </row>
    <row r="110" spans="1:6" x14ac:dyDescent="0.25">
      <c r="A110" s="677"/>
      <c r="B110" s="508"/>
      <c r="C110" s="509" t="s">
        <v>803</v>
      </c>
      <c r="D110" s="510">
        <v>1</v>
      </c>
      <c r="E110" s="511" t="s">
        <v>812</v>
      </c>
      <c r="F110" s="512" t="s">
        <v>374</v>
      </c>
    </row>
    <row r="111" spans="1:6" x14ac:dyDescent="0.25">
      <c r="A111" s="677"/>
      <c r="B111" s="508"/>
      <c r="C111" s="509" t="s">
        <v>882</v>
      </c>
      <c r="D111" s="510">
        <v>2</v>
      </c>
      <c r="E111" s="511" t="s">
        <v>812</v>
      </c>
      <c r="F111" s="512" t="s">
        <v>883</v>
      </c>
    </row>
    <row r="112" spans="1:6" x14ac:dyDescent="0.25">
      <c r="A112" s="677"/>
      <c r="B112" s="508"/>
      <c r="C112" s="509" t="s">
        <v>808</v>
      </c>
      <c r="D112" s="510">
        <v>2</v>
      </c>
      <c r="E112" s="511" t="s">
        <v>812</v>
      </c>
      <c r="F112" s="512" t="s">
        <v>809</v>
      </c>
    </row>
    <row r="113" spans="1:6" ht="15.75" thickBot="1" x14ac:dyDescent="0.3">
      <c r="A113" s="678"/>
      <c r="B113" s="513"/>
      <c r="C113" s="514" t="s">
        <v>810</v>
      </c>
      <c r="D113" s="515">
        <v>5</v>
      </c>
      <c r="E113" s="516" t="s">
        <v>799</v>
      </c>
      <c r="F113" s="517" t="s">
        <v>374</v>
      </c>
    </row>
    <row r="114" spans="1:6" ht="15.75" thickTop="1" x14ac:dyDescent="0.25">
      <c r="A114" s="676" t="s">
        <v>894</v>
      </c>
      <c r="B114" s="503" t="s">
        <v>895</v>
      </c>
      <c r="C114" s="504" t="s">
        <v>798</v>
      </c>
      <c r="D114" s="505">
        <v>1</v>
      </c>
      <c r="E114" s="506" t="s">
        <v>799</v>
      </c>
      <c r="F114" s="507" t="s">
        <v>374</v>
      </c>
    </row>
    <row r="115" spans="1:6" x14ac:dyDescent="0.25">
      <c r="A115" s="677"/>
      <c r="B115" s="508" t="s">
        <v>896</v>
      </c>
      <c r="C115" s="509" t="s">
        <v>814</v>
      </c>
      <c r="D115" s="510">
        <v>1</v>
      </c>
      <c r="E115" s="511" t="s">
        <v>799</v>
      </c>
      <c r="F115" s="512" t="s">
        <v>871</v>
      </c>
    </row>
    <row r="116" spans="1:6" x14ac:dyDescent="0.25">
      <c r="A116" s="677"/>
      <c r="B116" s="508" t="s">
        <v>897</v>
      </c>
      <c r="C116" s="509" t="s">
        <v>803</v>
      </c>
      <c r="D116" s="510">
        <v>1</v>
      </c>
      <c r="E116" s="511" t="s">
        <v>812</v>
      </c>
      <c r="F116" s="512" t="s">
        <v>374</v>
      </c>
    </row>
    <row r="117" spans="1:6" x14ac:dyDescent="0.25">
      <c r="A117" s="677"/>
      <c r="B117" s="508" t="s">
        <v>898</v>
      </c>
      <c r="C117" s="509" t="s">
        <v>882</v>
      </c>
      <c r="D117" s="510">
        <v>1</v>
      </c>
      <c r="E117" s="511" t="s">
        <v>799</v>
      </c>
      <c r="F117" s="512" t="s">
        <v>883</v>
      </c>
    </row>
    <row r="118" spans="1:6" x14ac:dyDescent="0.25">
      <c r="A118" s="682"/>
      <c r="B118" s="518" t="s">
        <v>899</v>
      </c>
      <c r="C118" s="518" t="s">
        <v>810</v>
      </c>
      <c r="D118" s="519">
        <v>5</v>
      </c>
      <c r="E118" s="520" t="s">
        <v>900</v>
      </c>
      <c r="F118" s="512" t="s">
        <v>374</v>
      </c>
    </row>
    <row r="119" spans="1:6" ht="15.75" thickBot="1" x14ac:dyDescent="0.3">
      <c r="A119" s="678"/>
      <c r="B119" s="513" t="s">
        <v>901</v>
      </c>
      <c r="C119" s="514" t="s">
        <v>808</v>
      </c>
      <c r="D119" s="515">
        <v>1</v>
      </c>
      <c r="E119" s="516" t="s">
        <v>799</v>
      </c>
      <c r="F119" s="517" t="s">
        <v>809</v>
      </c>
    </row>
    <row r="120" spans="1:6" ht="15.75" thickTop="1" x14ac:dyDescent="0.25"/>
  </sheetData>
  <mergeCells count="27">
    <mergeCell ref="A1:F1"/>
    <mergeCell ref="A107:A113"/>
    <mergeCell ref="A114:A119"/>
    <mergeCell ref="A77:A82"/>
    <mergeCell ref="A83:A88"/>
    <mergeCell ref="A89:A92"/>
    <mergeCell ref="A93:E93"/>
    <mergeCell ref="A94:A99"/>
    <mergeCell ref="A100:A106"/>
    <mergeCell ref="A76:E76"/>
    <mergeCell ref="A30:A36"/>
    <mergeCell ref="A37:A41"/>
    <mergeCell ref="A42:A47"/>
    <mergeCell ref="A48:A51"/>
    <mergeCell ref="A52:A53"/>
    <mergeCell ref="A54:A57"/>
    <mergeCell ref="A58:A59"/>
    <mergeCell ref="A60:A61"/>
    <mergeCell ref="A62:A65"/>
    <mergeCell ref="A66:A68"/>
    <mergeCell ref="A69:A74"/>
    <mergeCell ref="A25:A29"/>
    <mergeCell ref="A3:E3"/>
    <mergeCell ref="A4:A9"/>
    <mergeCell ref="A10:A15"/>
    <mergeCell ref="A16:A20"/>
    <mergeCell ref="A21:A24"/>
  </mergeCells>
  <pageMargins left="0.7" right="0.7" top="0.75" bottom="0.75" header="0.3" footer="0.3"/>
  <pageSetup paperSize="9" scale="4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zoomScaleNormal="100" zoomScaleSheetLayoutView="100" workbookViewId="0">
      <selection activeCell="I2" sqref="I2"/>
    </sheetView>
  </sheetViews>
  <sheetFormatPr defaultColWidth="9.140625" defaultRowHeight="16.5" customHeight="1" x14ac:dyDescent="0.25"/>
  <cols>
    <col min="1" max="1" width="22.42578125" style="25" customWidth="1"/>
    <col min="2" max="2" width="20.28515625" style="25" bestFit="1" customWidth="1"/>
    <col min="3" max="3" width="17.140625" style="25" customWidth="1"/>
    <col min="4" max="5" width="9.140625" style="25"/>
    <col min="6" max="6" width="14.85546875" style="25" customWidth="1"/>
    <col min="7" max="16384" width="9.140625" style="25"/>
  </cols>
  <sheetData>
    <row r="1" spans="1:8" ht="28.5" customHeight="1" x14ac:dyDescent="0.25">
      <c r="A1" s="624" t="s">
        <v>437</v>
      </c>
      <c r="B1" s="624"/>
      <c r="C1" s="624"/>
      <c r="D1" s="624"/>
      <c r="E1" s="624"/>
      <c r="F1" s="624"/>
    </row>
    <row r="2" spans="1:8" ht="31.5" customHeight="1" x14ac:dyDescent="0.25">
      <c r="A2" s="626" t="s">
        <v>375</v>
      </c>
      <c r="B2" s="626"/>
      <c r="C2" s="626"/>
      <c r="D2" s="626"/>
      <c r="E2" s="626"/>
      <c r="F2" s="626"/>
    </row>
    <row r="3" spans="1:8" ht="18.75" customHeight="1" x14ac:dyDescent="0.25">
      <c r="A3" s="118" t="s">
        <v>376</v>
      </c>
    </row>
    <row r="4" spans="1:8" ht="16.5" customHeight="1" x14ac:dyDescent="0.25">
      <c r="A4" s="25" t="s">
        <v>377</v>
      </c>
    </row>
    <row r="5" spans="1:8" ht="16.5" customHeight="1" x14ac:dyDescent="0.25">
      <c r="A5" s="256" t="s">
        <v>911</v>
      </c>
      <c r="C5" s="102">
        <v>250</v>
      </c>
      <c r="D5" s="256" t="s">
        <v>212</v>
      </c>
      <c r="E5" s="256"/>
      <c r="F5" s="256"/>
    </row>
    <row r="6" spans="1:8" s="30" customFormat="1" ht="16.5" customHeight="1" x14ac:dyDescent="0.25">
      <c r="A6" s="68" t="s">
        <v>599</v>
      </c>
      <c r="B6" s="25"/>
      <c r="C6" s="102">
        <v>300</v>
      </c>
      <c r="D6" s="256" t="s">
        <v>212</v>
      </c>
      <c r="E6" s="256"/>
      <c r="F6" s="256"/>
    </row>
    <row r="7" spans="1:8" ht="16.5" customHeight="1" x14ac:dyDescent="0.25">
      <c r="A7" s="485" t="s">
        <v>941</v>
      </c>
      <c r="C7" s="102">
        <v>4000</v>
      </c>
      <c r="D7" s="256" t="s">
        <v>378</v>
      </c>
      <c r="E7" s="256"/>
      <c r="F7" s="256"/>
      <c r="G7" s="578"/>
      <c r="H7" s="578"/>
    </row>
    <row r="8" spans="1:8" ht="16.5" customHeight="1" x14ac:dyDescent="0.25">
      <c r="A8" s="485" t="s">
        <v>940</v>
      </c>
      <c r="B8" s="256"/>
      <c r="C8" s="102">
        <v>20000</v>
      </c>
      <c r="D8" s="256" t="s">
        <v>378</v>
      </c>
      <c r="E8" s="256"/>
      <c r="F8" s="256"/>
      <c r="G8" s="578"/>
      <c r="H8" s="578"/>
    </row>
    <row r="9" spans="1:8" ht="16.5" customHeight="1" x14ac:dyDescent="0.25">
      <c r="A9" s="485"/>
      <c r="B9" s="256"/>
      <c r="C9" s="102"/>
      <c r="D9" s="256"/>
      <c r="E9" s="256"/>
      <c r="F9" s="256"/>
      <c r="G9" s="578"/>
      <c r="H9" s="578"/>
    </row>
    <row r="10" spans="1:8" ht="16.5" customHeight="1" x14ac:dyDescent="0.25">
      <c r="A10" s="485" t="s">
        <v>942</v>
      </c>
      <c r="B10" s="256"/>
      <c r="C10" s="102"/>
      <c r="D10" s="256"/>
      <c r="E10" s="256"/>
      <c r="F10" s="256"/>
      <c r="G10" s="578"/>
      <c r="H10" s="578"/>
    </row>
    <row r="11" spans="1:8" ht="16.5" customHeight="1" x14ac:dyDescent="0.25">
      <c r="B11" s="256"/>
      <c r="C11" s="102"/>
      <c r="D11" s="256"/>
      <c r="E11" s="256"/>
      <c r="F11" s="256"/>
    </row>
    <row r="12" spans="1:8" ht="16.5" customHeight="1" x14ac:dyDescent="0.25">
      <c r="A12" s="147" t="s">
        <v>380</v>
      </c>
      <c r="B12" s="256"/>
      <c r="C12" s="256"/>
      <c r="D12" s="256"/>
      <c r="E12" s="256"/>
      <c r="F12" s="256"/>
    </row>
    <row r="13" spans="1:8" ht="16.5" customHeight="1" x14ac:dyDescent="0.25">
      <c r="A13" s="256" t="s">
        <v>377</v>
      </c>
      <c r="B13" s="256"/>
      <c r="C13" s="256"/>
      <c r="D13" s="256"/>
      <c r="E13" s="256"/>
      <c r="F13" s="256"/>
    </row>
    <row r="14" spans="1:8" ht="16.5" customHeight="1" x14ac:dyDescent="0.25">
      <c r="A14" s="125" t="s">
        <v>109</v>
      </c>
      <c r="C14" s="102">
        <v>250</v>
      </c>
      <c r="D14" s="256" t="s">
        <v>212</v>
      </c>
      <c r="E14" s="256"/>
      <c r="F14" s="256"/>
    </row>
    <row r="15" spans="1:8" s="30" customFormat="1" ht="16.5" customHeight="1" x14ac:dyDescent="0.25">
      <c r="A15" s="68" t="s">
        <v>599</v>
      </c>
      <c r="B15" s="25"/>
      <c r="C15" s="102">
        <v>300</v>
      </c>
      <c r="D15" s="256" t="s">
        <v>212</v>
      </c>
      <c r="E15" s="256"/>
      <c r="F15" s="256"/>
    </row>
    <row r="16" spans="1:8" ht="16.5" customHeight="1" x14ac:dyDescent="0.25">
      <c r="A16" s="485" t="s">
        <v>941</v>
      </c>
      <c r="C16" s="102">
        <v>4000</v>
      </c>
      <c r="D16" s="256" t="s">
        <v>378</v>
      </c>
      <c r="E16" s="256"/>
      <c r="F16" s="112"/>
      <c r="G16" s="578"/>
      <c r="H16" s="578"/>
    </row>
    <row r="17" spans="1:8" ht="16.5" customHeight="1" x14ac:dyDescent="0.25">
      <c r="A17" s="485" t="s">
        <v>940</v>
      </c>
      <c r="B17" s="256"/>
      <c r="C17" s="102">
        <v>20000</v>
      </c>
      <c r="D17" s="256" t="s">
        <v>378</v>
      </c>
      <c r="E17" s="256"/>
      <c r="F17" s="256"/>
      <c r="G17" s="578"/>
      <c r="H17" s="578"/>
    </row>
    <row r="18" spans="1:8" ht="16.5" customHeight="1" x14ac:dyDescent="0.25">
      <c r="A18" s="125" t="s">
        <v>724</v>
      </c>
      <c r="B18" s="579"/>
      <c r="C18" s="580">
        <v>22500</v>
      </c>
      <c r="D18" s="256" t="s">
        <v>384</v>
      </c>
      <c r="E18" s="256"/>
      <c r="F18" s="256"/>
      <c r="G18" s="578"/>
      <c r="H18" s="578"/>
    </row>
    <row r="19" spans="1:8" ht="16.5" customHeight="1" x14ac:dyDescent="0.25">
      <c r="A19" s="125"/>
      <c r="B19" s="579"/>
      <c r="C19" s="580"/>
      <c r="D19" s="256"/>
      <c r="E19" s="256"/>
      <c r="F19" s="256"/>
      <c r="G19" s="578"/>
      <c r="H19" s="578"/>
    </row>
    <row r="20" spans="1:8" ht="16.5" customHeight="1" x14ac:dyDescent="0.25">
      <c r="A20" s="125" t="s">
        <v>942</v>
      </c>
      <c r="B20" s="579"/>
      <c r="C20" s="580"/>
      <c r="D20" s="256"/>
      <c r="E20" s="256"/>
      <c r="F20" s="256"/>
      <c r="G20" s="578"/>
      <c r="H20" s="578"/>
    </row>
    <row r="21" spans="1:8" ht="16.5" customHeight="1" x14ac:dyDescent="0.25">
      <c r="A21" s="125"/>
      <c r="B21" s="256"/>
      <c r="C21" s="256"/>
      <c r="D21" s="256"/>
      <c r="E21" s="256"/>
      <c r="F21" s="256"/>
    </row>
    <row r="22" spans="1:8" ht="16.5" customHeight="1" x14ac:dyDescent="0.25">
      <c r="A22" s="179" t="s">
        <v>381</v>
      </c>
      <c r="B22" s="203"/>
      <c r="C22" s="203"/>
      <c r="D22" s="203"/>
      <c r="E22" s="203"/>
      <c r="F22" s="203"/>
    </row>
    <row r="23" spans="1:8" s="30" customFormat="1" ht="16.5" customHeight="1" x14ac:dyDescent="0.25">
      <c r="A23" s="120"/>
      <c r="B23" s="203"/>
      <c r="C23" s="203"/>
      <c r="D23" s="203"/>
      <c r="E23" s="203"/>
      <c r="F23" s="203"/>
    </row>
    <row r="24" spans="1:8" s="30" customFormat="1" ht="15" x14ac:dyDescent="0.25">
      <c r="A24" s="121" t="s">
        <v>536</v>
      </c>
      <c r="B24" s="203"/>
      <c r="C24" s="203"/>
      <c r="D24" s="203"/>
      <c r="E24" s="203"/>
      <c r="F24" s="203"/>
    </row>
    <row r="25" spans="1:8" s="30" customFormat="1" ht="30" customHeight="1" x14ac:dyDescent="0.25">
      <c r="A25" s="690" t="s">
        <v>747</v>
      </c>
      <c r="B25" s="690"/>
      <c r="C25" s="102">
        <v>250</v>
      </c>
      <c r="D25" s="68" t="s">
        <v>212</v>
      </c>
      <c r="E25" s="256"/>
      <c r="F25" s="256"/>
    </row>
    <row r="26" spans="1:8" s="30" customFormat="1" ht="16.5" customHeight="1" x14ac:dyDescent="0.25">
      <c r="A26" s="68" t="s">
        <v>599</v>
      </c>
      <c r="B26" s="25"/>
      <c r="C26" s="102">
        <v>300</v>
      </c>
      <c r="D26" s="256" t="s">
        <v>212</v>
      </c>
      <c r="E26" s="256"/>
      <c r="F26" s="256"/>
    </row>
    <row r="27" spans="1:8" ht="16.5" customHeight="1" x14ac:dyDescent="0.25">
      <c r="A27" s="68" t="s">
        <v>382</v>
      </c>
      <c r="C27" s="213">
        <v>14000</v>
      </c>
      <c r="D27" s="68" t="s">
        <v>378</v>
      </c>
      <c r="E27" s="148"/>
      <c r="F27" s="148"/>
    </row>
    <row r="28" spans="1:8" ht="16.5" customHeight="1" x14ac:dyDescent="0.25">
      <c r="A28" s="211" t="s">
        <v>383</v>
      </c>
      <c r="D28" s="68"/>
      <c r="E28" s="68"/>
      <c r="F28" s="68"/>
    </row>
    <row r="29" spans="1:8" ht="16.5" customHeight="1" x14ac:dyDescent="0.25">
      <c r="A29" s="256" t="s">
        <v>543</v>
      </c>
      <c r="B29" s="122"/>
      <c r="C29" s="122"/>
      <c r="D29" s="122"/>
      <c r="E29" s="122"/>
      <c r="F29" s="122"/>
    </row>
    <row r="30" spans="1:8" ht="16.5" customHeight="1" x14ac:dyDescent="0.25">
      <c r="A30" s="256" t="s">
        <v>537</v>
      </c>
      <c r="C30" s="213">
        <v>15000</v>
      </c>
      <c r="D30" s="68" t="s">
        <v>384</v>
      </c>
      <c r="E30" s="122"/>
      <c r="F30" s="122"/>
    </row>
    <row r="31" spans="1:8" ht="16.5" customHeight="1" x14ac:dyDescent="0.25">
      <c r="A31" s="68" t="s">
        <v>538</v>
      </c>
      <c r="C31" s="213">
        <v>340</v>
      </c>
      <c r="D31" s="68" t="s">
        <v>385</v>
      </c>
      <c r="E31" s="122"/>
      <c r="F31" s="122"/>
    </row>
    <row r="32" spans="1:8" ht="27" customHeight="1" x14ac:dyDescent="0.25">
      <c r="A32" s="689" t="s">
        <v>386</v>
      </c>
      <c r="B32" s="689"/>
      <c r="C32" s="689"/>
      <c r="D32" s="689"/>
      <c r="E32" s="689"/>
      <c r="F32" s="689"/>
    </row>
    <row r="33" spans="1:6" ht="16.5" customHeight="1" x14ac:dyDescent="0.25">
      <c r="A33" s="123"/>
      <c r="B33" s="68"/>
      <c r="C33" s="95"/>
      <c r="D33" s="122"/>
      <c r="E33" s="122"/>
      <c r="F33" s="122"/>
    </row>
    <row r="34" spans="1:6" ht="16.5" customHeight="1" x14ac:dyDescent="0.25">
      <c r="A34" s="121" t="s">
        <v>539</v>
      </c>
      <c r="B34" s="203"/>
      <c r="C34" s="203"/>
      <c r="D34" s="122"/>
      <c r="E34" s="122"/>
      <c r="F34" s="122"/>
    </row>
    <row r="35" spans="1:6" ht="29.25" customHeight="1" x14ac:dyDescent="0.25">
      <c r="A35" s="690" t="s">
        <v>747</v>
      </c>
      <c r="B35" s="690"/>
      <c r="C35" s="102">
        <v>250</v>
      </c>
      <c r="D35" s="68" t="s">
        <v>212</v>
      </c>
      <c r="E35" s="125"/>
      <c r="F35" s="125"/>
    </row>
    <row r="36" spans="1:6" s="30" customFormat="1" ht="16.5" customHeight="1" x14ac:dyDescent="0.25">
      <c r="A36" s="68" t="s">
        <v>599</v>
      </c>
      <c r="B36" s="25"/>
      <c r="C36" s="102">
        <v>300</v>
      </c>
      <c r="D36" s="256" t="s">
        <v>212</v>
      </c>
      <c r="E36" s="256"/>
      <c r="F36" s="256"/>
    </row>
    <row r="37" spans="1:6" s="30" customFormat="1" ht="15" x14ac:dyDescent="0.25">
      <c r="A37" s="68" t="s">
        <v>382</v>
      </c>
      <c r="B37" s="25"/>
      <c r="C37" s="102">
        <v>23000</v>
      </c>
      <c r="D37" s="256" t="s">
        <v>378</v>
      </c>
      <c r="E37" s="256"/>
      <c r="F37" s="256"/>
    </row>
    <row r="38" spans="1:6" ht="16.5" customHeight="1" x14ac:dyDescent="0.25">
      <c r="A38" s="211" t="s">
        <v>383</v>
      </c>
      <c r="B38" s="68"/>
      <c r="C38" s="95"/>
      <c r="D38" s="125"/>
      <c r="E38" s="125"/>
      <c r="F38" s="125"/>
    </row>
    <row r="39" spans="1:6" s="71" customFormat="1" ht="23.25" customHeight="1" x14ac:dyDescent="0.25">
      <c r="A39" s="256" t="s">
        <v>543</v>
      </c>
      <c r="B39" s="122"/>
      <c r="C39" s="122"/>
      <c r="D39" s="125"/>
      <c r="E39" s="125"/>
      <c r="F39" s="125"/>
    </row>
    <row r="40" spans="1:6" ht="16.5" customHeight="1" x14ac:dyDescent="0.25">
      <c r="A40" s="256" t="s">
        <v>537</v>
      </c>
      <c r="B40" s="119"/>
      <c r="C40" s="213">
        <v>15000</v>
      </c>
      <c r="D40" s="68" t="s">
        <v>384</v>
      </c>
      <c r="E40" s="125"/>
      <c r="F40" s="125"/>
    </row>
    <row r="41" spans="1:6" ht="39" customHeight="1" x14ac:dyDescent="0.25">
      <c r="A41" s="689" t="s">
        <v>386</v>
      </c>
      <c r="B41" s="689"/>
      <c r="C41" s="689"/>
      <c r="D41" s="689"/>
      <c r="E41" s="689"/>
      <c r="F41" s="689"/>
    </row>
    <row r="42" spans="1:6" ht="12" customHeight="1" x14ac:dyDescent="0.25">
      <c r="A42" s="375"/>
      <c r="B42" s="375"/>
      <c r="C42" s="375"/>
      <c r="D42" s="375"/>
      <c r="E42" s="375"/>
      <c r="F42" s="375"/>
    </row>
    <row r="43" spans="1:6" s="119" customFormat="1" ht="16.5" customHeight="1" x14ac:dyDescent="0.25">
      <c r="A43" s="185" t="s">
        <v>462</v>
      </c>
      <c r="B43" s="125"/>
      <c r="C43" s="125"/>
    </row>
    <row r="44" spans="1:6" s="119" customFormat="1" ht="16.5" customHeight="1" x14ac:dyDescent="0.25">
      <c r="A44" s="118" t="s">
        <v>560</v>
      </c>
      <c r="B44" s="125"/>
      <c r="C44" s="125"/>
    </row>
    <row r="45" spans="1:6" s="119" customFormat="1" ht="16.5" customHeight="1" x14ac:dyDescent="0.25">
      <c r="A45" s="256" t="s">
        <v>379</v>
      </c>
      <c r="B45" s="25"/>
      <c r="C45" s="102">
        <v>5500</v>
      </c>
      <c r="D45" s="256" t="s">
        <v>559</v>
      </c>
    </row>
    <row r="46" spans="1:6" s="119" customFormat="1" ht="16.5" customHeight="1" x14ac:dyDescent="0.25">
      <c r="A46" s="256"/>
      <c r="B46" s="25"/>
      <c r="C46" s="102">
        <v>4500</v>
      </c>
      <c r="D46" s="256" t="s">
        <v>559</v>
      </c>
    </row>
    <row r="47" spans="1:6" s="119" customFormat="1" ht="16.5" customHeight="1" x14ac:dyDescent="0.25">
      <c r="A47" s="256" t="s">
        <v>748</v>
      </c>
      <c r="B47" s="25"/>
      <c r="C47" s="102"/>
      <c r="D47" s="256"/>
    </row>
    <row r="48" spans="1:6" s="119" customFormat="1" ht="16.5" customHeight="1" x14ac:dyDescent="0.25">
      <c r="A48" s="185"/>
      <c r="B48" s="125"/>
      <c r="C48" s="125"/>
    </row>
    <row r="49" spans="1:6" s="119" customFormat="1" ht="16.5" customHeight="1" x14ac:dyDescent="0.25">
      <c r="A49" s="104" t="s">
        <v>215</v>
      </c>
      <c r="B49" s="125"/>
      <c r="C49" s="125"/>
    </row>
    <row r="50" spans="1:6" s="124" customFormat="1" ht="16.5" customHeight="1" x14ac:dyDescent="0.25">
      <c r="A50" s="256"/>
      <c r="B50" s="256"/>
      <c r="C50" s="256"/>
      <c r="D50" s="25"/>
      <c r="E50" s="25"/>
      <c r="F50" s="25"/>
    </row>
    <row r="51" spans="1:6" s="119" customFormat="1" ht="16.5" customHeight="1" x14ac:dyDescent="0.25">
      <c r="A51" s="25"/>
      <c r="B51" s="25"/>
      <c r="C51" s="25"/>
      <c r="D51" s="25"/>
      <c r="E51" s="25"/>
      <c r="F51" s="25"/>
    </row>
    <row r="52" spans="1:6" s="119" customFormat="1" ht="16.5" customHeight="1" x14ac:dyDescent="0.25">
      <c r="A52" s="25"/>
      <c r="B52" s="25"/>
      <c r="C52" s="25"/>
      <c r="D52" s="25"/>
      <c r="E52" s="25"/>
      <c r="F52" s="25"/>
    </row>
    <row r="53" spans="1:6" s="119" customFormat="1" ht="16.5" customHeight="1" x14ac:dyDescent="0.25">
      <c r="A53" s="25"/>
      <c r="B53" s="25"/>
      <c r="C53" s="25"/>
      <c r="D53" s="25"/>
      <c r="E53" s="25"/>
      <c r="F53" s="25"/>
    </row>
    <row r="54" spans="1:6" s="119" customFormat="1" ht="16.5" customHeight="1" x14ac:dyDescent="0.25">
      <c r="A54" s="25"/>
      <c r="B54" s="25"/>
      <c r="C54" s="25"/>
      <c r="D54" s="25"/>
      <c r="E54" s="25"/>
      <c r="F54" s="25"/>
    </row>
    <row r="55" spans="1:6" s="119" customFormat="1" ht="9" customHeight="1" x14ac:dyDescent="0.25">
      <c r="A55" s="25"/>
      <c r="B55" s="25"/>
      <c r="C55" s="25"/>
      <c r="D55" s="25"/>
      <c r="E55" s="25"/>
      <c r="F55" s="25"/>
    </row>
    <row r="56" spans="1:6" s="119" customFormat="1" ht="23.25" customHeight="1" x14ac:dyDescent="0.25">
      <c r="A56" s="25"/>
      <c r="B56" s="25"/>
      <c r="C56" s="25"/>
      <c r="D56" s="25"/>
      <c r="E56" s="25"/>
      <c r="F56" s="25"/>
    </row>
    <row r="57" spans="1:6" s="119" customFormat="1" ht="8.25" customHeight="1" x14ac:dyDescent="0.25">
      <c r="A57" s="25"/>
      <c r="B57" s="25"/>
      <c r="C57" s="25"/>
      <c r="D57" s="25"/>
      <c r="E57" s="25"/>
      <c r="F57" s="25"/>
    </row>
    <row r="58" spans="1:6" s="119" customFormat="1" ht="16.5" customHeight="1" x14ac:dyDescent="0.25">
      <c r="A58" s="25"/>
      <c r="B58" s="25"/>
      <c r="C58" s="25"/>
      <c r="D58" s="25"/>
      <c r="E58" s="25"/>
      <c r="F58" s="25"/>
    </row>
  </sheetData>
  <mergeCells count="6">
    <mergeCell ref="A41:F41"/>
    <mergeCell ref="A1:F1"/>
    <mergeCell ref="A2:F2"/>
    <mergeCell ref="A25:B25"/>
    <mergeCell ref="A32:F32"/>
    <mergeCell ref="A35:B35"/>
  </mergeCells>
  <printOptions horizontalCentered="1"/>
  <pageMargins left="0.51181102362204722" right="0.47244094488188981" top="0.51" bottom="0.98425196850393704" header="0.51181102362204722" footer="0.51181102362204722"/>
  <pageSetup paperSize="9" scale="60" orientation="landscape" r:id="rId1"/>
  <headerFooter alignWithMargins="0">
    <oddHeader xml:space="preserve">&amp;R&amp;"Times New Roman,Normál"&amp;10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showGridLines="0" workbookViewId="0">
      <selection activeCell="H17" sqref="H17"/>
    </sheetView>
  </sheetViews>
  <sheetFormatPr defaultRowHeight="15" x14ac:dyDescent="0.25"/>
  <cols>
    <col min="1" max="1" width="66.140625" style="207" customWidth="1"/>
    <col min="2" max="5" width="9.140625" style="207"/>
  </cols>
  <sheetData>
    <row r="1" spans="1:5" ht="30" customHeight="1" x14ac:dyDescent="0.25">
      <c r="A1" s="624" t="s">
        <v>438</v>
      </c>
      <c r="B1" s="624"/>
      <c r="C1" s="423"/>
      <c r="D1" s="423"/>
      <c r="E1" s="423"/>
    </row>
    <row r="2" spans="1:5" ht="66" customHeight="1" x14ac:dyDescent="0.25">
      <c r="A2" s="630" t="s">
        <v>387</v>
      </c>
      <c r="B2" s="630"/>
      <c r="C2" s="425"/>
      <c r="D2" s="425"/>
      <c r="E2" s="425"/>
    </row>
    <row r="3" spans="1:5" x14ac:dyDescent="0.25">
      <c r="A3" s="541" t="s">
        <v>377</v>
      </c>
      <c r="B3" s="25"/>
      <c r="C3" s="25"/>
      <c r="D3" s="25"/>
      <c r="E3" s="25"/>
    </row>
    <row r="4" spans="1:5" ht="32.25" customHeight="1" x14ac:dyDescent="0.25">
      <c r="A4" s="25"/>
      <c r="B4" s="25"/>
      <c r="C4" s="166"/>
      <c r="D4" s="25"/>
      <c r="E4" s="25"/>
    </row>
    <row r="5" spans="1:5" x14ac:dyDescent="0.25">
      <c r="A5" s="542" t="s">
        <v>711</v>
      </c>
      <c r="B5" s="429">
        <f>ROUND((0.5*'3. rezsióradíj mérnökóradíj'!D4),0)</f>
        <v>2000</v>
      </c>
      <c r="C5" s="205"/>
    </row>
    <row r="6" spans="1:5" x14ac:dyDescent="0.25">
      <c r="A6" s="543" t="s">
        <v>698</v>
      </c>
      <c r="B6" s="431">
        <f>'4. kiszállás díja'!C10</f>
        <v>5000</v>
      </c>
      <c r="C6" s="205"/>
    </row>
    <row r="7" spans="1:5" x14ac:dyDescent="0.25">
      <c r="A7" s="435" t="s">
        <v>110</v>
      </c>
      <c r="B7" s="436">
        <f>SUM(B5:B6)</f>
        <v>7000</v>
      </c>
      <c r="C7" s="205"/>
    </row>
    <row r="8" spans="1:5" x14ac:dyDescent="0.25">
      <c r="A8" s="430" t="s">
        <v>671</v>
      </c>
      <c r="B8" s="430">
        <f>ROUND(((B5+B6)*0.2),0)</f>
        <v>1400</v>
      </c>
      <c r="C8" s="205"/>
    </row>
    <row r="9" spans="1:5" x14ac:dyDescent="0.25">
      <c r="A9" s="124" t="s">
        <v>86</v>
      </c>
      <c r="B9" s="432">
        <f>B7+B8</f>
        <v>8400</v>
      </c>
      <c r="C9" s="205"/>
    </row>
    <row r="10" spans="1:5" x14ac:dyDescent="0.25">
      <c r="A10" s="119" t="s">
        <v>106</v>
      </c>
      <c r="B10" s="434">
        <f>ROUND((B9*0.27),0)</f>
        <v>2268</v>
      </c>
      <c r="C10" s="205"/>
    </row>
    <row r="11" spans="1:5" ht="24.75" customHeight="1" x14ac:dyDescent="0.25">
      <c r="A11" s="433" t="s">
        <v>107</v>
      </c>
      <c r="B11" s="575">
        <f>B9+B10</f>
        <v>10668</v>
      </c>
      <c r="C11" s="205"/>
      <c r="E11"/>
    </row>
    <row r="12" spans="1:5" x14ac:dyDescent="0.25">
      <c r="A12" s="205"/>
      <c r="B12" s="205"/>
      <c r="C12" s="205"/>
    </row>
    <row r="13" spans="1:5" x14ac:dyDescent="0.25">
      <c r="A13" s="205"/>
      <c r="B13"/>
      <c r="C13"/>
      <c r="D13"/>
      <c r="E13"/>
    </row>
    <row r="14" spans="1:5" x14ac:dyDescent="0.25">
      <c r="A14" s="205"/>
      <c r="B14"/>
      <c r="C14"/>
      <c r="D14"/>
      <c r="E14"/>
    </row>
    <row r="15" spans="1:5" x14ac:dyDescent="0.25">
      <c r="A15" s="205"/>
      <c r="B15"/>
      <c r="C15"/>
      <c r="D15"/>
      <c r="E15"/>
    </row>
    <row r="16" spans="1:5" x14ac:dyDescent="0.25">
      <c r="A16" s="205"/>
      <c r="B16"/>
      <c r="C16"/>
      <c r="D16"/>
      <c r="E16"/>
    </row>
    <row r="17" spans="2:5" x14ac:dyDescent="0.25">
      <c r="B17"/>
      <c r="C17"/>
      <c r="D17"/>
      <c r="E17"/>
    </row>
  </sheetData>
  <mergeCells count="2">
    <mergeCell ref="A1:B1"/>
    <mergeCell ref="A2:B2"/>
  </mergeCells>
  <pageMargins left="0.7" right="0.7" top="0.75" bottom="0.75" header="0.3" footer="0.3"/>
  <pageSetup paperSize="9" scale="9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H13"/>
  <sheetViews>
    <sheetView showGridLines="0" zoomScaleNormal="100" zoomScaleSheetLayoutView="100" workbookViewId="0">
      <selection activeCell="L18" sqref="L18"/>
    </sheetView>
  </sheetViews>
  <sheetFormatPr defaultColWidth="9.140625" defaultRowHeight="15" x14ac:dyDescent="0.25"/>
  <cols>
    <col min="1" max="16384" width="9.140625" style="42"/>
  </cols>
  <sheetData>
    <row r="1" spans="1:8" ht="42" customHeight="1" x14ac:dyDescent="0.25">
      <c r="A1" s="624" t="s">
        <v>439</v>
      </c>
      <c r="B1" s="624"/>
      <c r="C1" s="624"/>
      <c r="D1" s="624"/>
      <c r="E1" s="624"/>
      <c r="F1" s="624"/>
      <c r="G1" s="624"/>
    </row>
    <row r="2" spans="1:8" ht="47.25" customHeight="1" x14ac:dyDescent="0.25">
      <c r="A2" s="626" t="s">
        <v>388</v>
      </c>
      <c r="B2" s="626"/>
      <c r="C2" s="626"/>
      <c r="D2" s="626"/>
      <c r="E2" s="626"/>
      <c r="F2" s="626"/>
      <c r="G2" s="626"/>
      <c r="H2" s="39"/>
    </row>
    <row r="3" spans="1:8" ht="16.5" customHeight="1" x14ac:dyDescent="0.25"/>
    <row r="4" spans="1:8" ht="16.5" customHeight="1" x14ac:dyDescent="0.25">
      <c r="A4" s="200" t="s">
        <v>103</v>
      </c>
    </row>
    <row r="5" spans="1:8" ht="16.5" customHeight="1" x14ac:dyDescent="0.25"/>
    <row r="6" spans="1:8" ht="16.5" customHeight="1" x14ac:dyDescent="0.25">
      <c r="A6" s="126" t="s">
        <v>389</v>
      </c>
      <c r="G6" s="376"/>
    </row>
    <row r="7" spans="1:8" ht="27" customHeight="1" x14ac:dyDescent="0.25">
      <c r="B7" s="576">
        <v>355</v>
      </c>
      <c r="C7" s="42" t="s">
        <v>390</v>
      </c>
    </row>
    <row r="8" spans="1:8" ht="16.5" customHeight="1" x14ac:dyDescent="0.25">
      <c r="B8" s="200"/>
    </row>
    <row r="9" spans="1:8" ht="16.5" customHeight="1" x14ac:dyDescent="0.25">
      <c r="A9" s="126" t="s">
        <v>391</v>
      </c>
      <c r="B9" s="200"/>
    </row>
    <row r="10" spans="1:8" ht="24" customHeight="1" x14ac:dyDescent="0.25">
      <c r="B10" s="576">
        <v>300</v>
      </c>
      <c r="C10" s="42" t="s">
        <v>392</v>
      </c>
    </row>
    <row r="13" spans="1:8" x14ac:dyDescent="0.25">
      <c r="A13" s="127"/>
    </row>
  </sheetData>
  <mergeCells count="2">
    <mergeCell ref="A1:G1"/>
    <mergeCell ref="A2:G2"/>
  </mergeCells>
  <printOptions horizontalCentered="1"/>
  <pageMargins left="1.32" right="0.35433070866141736" top="0.5511811023622047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G19"/>
  <sheetViews>
    <sheetView showGridLines="0" zoomScaleNormal="100" zoomScaleSheetLayoutView="100" workbookViewId="0">
      <selection activeCell="E8" sqref="E8"/>
    </sheetView>
  </sheetViews>
  <sheetFormatPr defaultColWidth="9.140625" defaultRowHeight="15" x14ac:dyDescent="0.25"/>
  <cols>
    <col min="1" max="1" width="8.140625" style="25" customWidth="1"/>
    <col min="2" max="2" width="3.7109375" style="25" customWidth="1"/>
    <col min="3" max="3" width="22.7109375" style="25" customWidth="1"/>
    <col min="4" max="4" width="9.140625" style="25"/>
    <col min="5" max="5" width="23.5703125" style="25" customWidth="1"/>
    <col min="6" max="6" width="23.140625" style="25" customWidth="1"/>
    <col min="7" max="16384" width="9.140625" style="25"/>
  </cols>
  <sheetData>
    <row r="1" spans="1:7" ht="49.5" customHeight="1" x14ac:dyDescent="0.25">
      <c r="A1" s="624" t="s">
        <v>440</v>
      </c>
      <c r="B1" s="624"/>
      <c r="C1" s="624"/>
      <c r="D1" s="624"/>
      <c r="E1" s="624"/>
    </row>
    <row r="2" spans="1:7" ht="32.25" customHeight="1" x14ac:dyDescent="0.25">
      <c r="A2" s="626" t="s">
        <v>929</v>
      </c>
      <c r="B2" s="626"/>
      <c r="C2" s="626"/>
      <c r="D2" s="626"/>
      <c r="E2" s="626"/>
      <c r="F2" s="35"/>
    </row>
    <row r="3" spans="1:7" ht="25.5" customHeight="1" x14ac:dyDescent="0.25">
      <c r="E3" s="50"/>
    </row>
    <row r="4" spans="1:7" ht="16.5" customHeight="1" x14ac:dyDescent="0.25">
      <c r="A4" s="280" t="s">
        <v>377</v>
      </c>
    </row>
    <row r="5" spans="1:7" ht="16.5" customHeight="1" x14ac:dyDescent="0.25"/>
    <row r="6" spans="1:7" ht="16.5" customHeight="1" x14ac:dyDescent="0.25">
      <c r="A6" s="70" t="s">
        <v>910</v>
      </c>
    </row>
    <row r="7" spans="1:7" ht="16.5" customHeight="1" x14ac:dyDescent="0.25">
      <c r="B7" s="25" t="s">
        <v>393</v>
      </c>
      <c r="D7" s="102">
        <v>6760</v>
      </c>
      <c r="E7" s="25" t="s">
        <v>394</v>
      </c>
      <c r="F7" s="145"/>
    </row>
    <row r="8" spans="1:7" ht="16.5" customHeight="1" x14ac:dyDescent="0.25">
      <c r="B8" s="25" t="s">
        <v>395</v>
      </c>
      <c r="D8" s="102">
        <v>13020</v>
      </c>
      <c r="E8" s="25" t="s">
        <v>394</v>
      </c>
    </row>
    <row r="9" spans="1:7" x14ac:dyDescent="0.25">
      <c r="B9" s="315"/>
    </row>
    <row r="11" spans="1:7" x14ac:dyDescent="0.25">
      <c r="A11" s="104" t="s">
        <v>615</v>
      </c>
    </row>
    <row r="12" spans="1:7" x14ac:dyDescent="0.25">
      <c r="G12" s="40"/>
    </row>
    <row r="14" spans="1:7" s="256" customFormat="1" x14ac:dyDescent="0.25"/>
    <row r="15" spans="1:7" s="256" customFormat="1" x14ac:dyDescent="0.25"/>
    <row r="18" spans="1:6" x14ac:dyDescent="0.25">
      <c r="A18" s="145"/>
      <c r="B18" s="145"/>
      <c r="C18" s="145"/>
      <c r="D18" s="145"/>
      <c r="E18" s="145"/>
      <c r="F18" s="145"/>
    </row>
    <row r="19" spans="1:6" x14ac:dyDescent="0.25">
      <c r="A19" s="145"/>
      <c r="B19" s="145"/>
      <c r="C19" s="145"/>
      <c r="D19" s="145"/>
      <c r="E19" s="145"/>
      <c r="F19" s="145"/>
    </row>
  </sheetData>
  <mergeCells count="2">
    <mergeCell ref="A2:E2"/>
    <mergeCell ref="A1:E1"/>
  </mergeCells>
  <printOptions horizontalCentered="1"/>
  <pageMargins left="0.74803149606299213" right="0.74803149606299213" top="0.56000000000000005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pageSetUpPr fitToPage="1"/>
  </sheetPr>
  <dimension ref="A1:F42"/>
  <sheetViews>
    <sheetView showGridLines="0" topLeftCell="A16" zoomScaleNormal="100" zoomScaleSheetLayoutView="100" workbookViewId="0">
      <selection activeCell="B35" sqref="B35"/>
    </sheetView>
  </sheetViews>
  <sheetFormatPr defaultColWidth="9.140625" defaultRowHeight="15" x14ac:dyDescent="0.25"/>
  <cols>
    <col min="1" max="1" width="66.140625" style="14" customWidth="1"/>
    <col min="2" max="2" width="12.85546875" style="14" customWidth="1"/>
    <col min="3" max="3" width="9.140625" style="14"/>
    <col min="4" max="4" width="12.42578125" style="14" customWidth="1"/>
    <col min="5" max="16384" width="9.140625" style="14"/>
  </cols>
  <sheetData>
    <row r="1" spans="1:6" ht="30.75" customHeight="1" x14ac:dyDescent="0.25">
      <c r="A1" s="117"/>
      <c r="B1" s="674" t="s">
        <v>441</v>
      </c>
      <c r="C1" s="674"/>
      <c r="D1" s="674"/>
      <c r="E1" s="674"/>
    </row>
    <row r="2" spans="1:6" ht="67.5" customHeight="1" x14ac:dyDescent="0.25">
      <c r="A2" s="692" t="s">
        <v>396</v>
      </c>
      <c r="B2" s="637"/>
      <c r="C2" s="637"/>
      <c r="D2" s="637"/>
      <c r="E2" s="637"/>
      <c r="F2" s="128"/>
    </row>
    <row r="3" spans="1:6" ht="16.5" customHeight="1" x14ac:dyDescent="0.25">
      <c r="A3" s="14" t="s">
        <v>377</v>
      </c>
      <c r="F3" s="167"/>
    </row>
    <row r="4" spans="1:6" ht="16.5" customHeight="1" x14ac:dyDescent="0.25"/>
    <row r="5" spans="1:6" ht="16.5" customHeight="1" x14ac:dyDescent="0.25">
      <c r="A5" s="15" t="s">
        <v>397</v>
      </c>
    </row>
    <row r="6" spans="1:6" ht="16.5" customHeight="1" x14ac:dyDescent="0.25">
      <c r="A6" s="14" t="s">
        <v>398</v>
      </c>
      <c r="B6" s="102">
        <v>172000</v>
      </c>
      <c r="C6" s="14" t="s">
        <v>399</v>
      </c>
    </row>
    <row r="7" spans="1:6" ht="16.5" customHeight="1" x14ac:dyDescent="0.25">
      <c r="A7" s="14" t="s">
        <v>400</v>
      </c>
      <c r="B7" s="102">
        <v>262000</v>
      </c>
      <c r="C7" s="14" t="s">
        <v>399</v>
      </c>
    </row>
    <row r="9" spans="1:6" x14ac:dyDescent="0.25">
      <c r="A9" s="15" t="s">
        <v>401</v>
      </c>
    </row>
    <row r="10" spans="1:6" x14ac:dyDescent="0.25">
      <c r="A10" s="14" t="s">
        <v>402</v>
      </c>
      <c r="B10" s="102">
        <v>1770</v>
      </c>
      <c r="C10" s="14" t="s">
        <v>403</v>
      </c>
    </row>
    <row r="13" spans="1:6" x14ac:dyDescent="0.25">
      <c r="A13" s="104" t="s">
        <v>215</v>
      </c>
      <c r="D13" s="16"/>
      <c r="F13" s="209"/>
    </row>
    <row r="14" spans="1:6" ht="36" customHeight="1" x14ac:dyDescent="0.25">
      <c r="A14" s="693" t="s">
        <v>404</v>
      </c>
      <c r="B14" s="693"/>
      <c r="C14" s="693"/>
      <c r="D14" s="693"/>
      <c r="E14" s="693"/>
    </row>
    <row r="15" spans="1:6" x14ac:dyDescent="0.25">
      <c r="A15" s="129"/>
      <c r="B15" s="130"/>
    </row>
    <row r="16" spans="1:6" ht="17.25" x14ac:dyDescent="0.25">
      <c r="A16" s="131" t="s">
        <v>405</v>
      </c>
      <c r="B16" s="132" t="s">
        <v>406</v>
      </c>
    </row>
    <row r="17" spans="1:3" x14ac:dyDescent="0.25">
      <c r="A17" s="129" t="s">
        <v>407</v>
      </c>
      <c r="B17" s="149">
        <v>49500</v>
      </c>
    </row>
    <row r="18" spans="1:3" x14ac:dyDescent="0.25">
      <c r="A18" s="129" t="s">
        <v>408</v>
      </c>
      <c r="B18" s="149">
        <v>90800</v>
      </c>
    </row>
    <row r="19" spans="1:3" x14ac:dyDescent="0.25">
      <c r="A19" s="129" t="s">
        <v>409</v>
      </c>
      <c r="B19" s="149">
        <v>3000</v>
      </c>
    </row>
    <row r="20" spans="1:3" x14ac:dyDescent="0.25">
      <c r="A20" s="129" t="s">
        <v>410</v>
      </c>
      <c r="B20" s="149">
        <v>28700</v>
      </c>
    </row>
    <row r="21" spans="1:3" x14ac:dyDescent="0.25">
      <c r="A21" s="131" t="s">
        <v>411</v>
      </c>
      <c r="B21" s="150">
        <f>B17+B18+B19+B20</f>
        <v>172000</v>
      </c>
    </row>
    <row r="22" spans="1:3" x14ac:dyDescent="0.25">
      <c r="A22" s="131"/>
      <c r="B22" s="151"/>
    </row>
    <row r="23" spans="1:3" ht="17.25" x14ac:dyDescent="0.25">
      <c r="A23" s="131" t="s">
        <v>412</v>
      </c>
      <c r="B23" s="152" t="s">
        <v>406</v>
      </c>
    </row>
    <row r="24" spans="1:3" x14ac:dyDescent="0.25">
      <c r="A24" s="129" t="s">
        <v>413</v>
      </c>
      <c r="B24" s="149">
        <v>185700</v>
      </c>
    </row>
    <row r="25" spans="1:3" x14ac:dyDescent="0.25">
      <c r="A25" s="129" t="s">
        <v>414</v>
      </c>
      <c r="B25" s="149">
        <v>34000</v>
      </c>
    </row>
    <row r="26" spans="1:3" x14ac:dyDescent="0.25">
      <c r="A26" s="129" t="s">
        <v>415</v>
      </c>
      <c r="B26" s="149">
        <v>42300</v>
      </c>
    </row>
    <row r="27" spans="1:3" x14ac:dyDescent="0.25">
      <c r="A27" s="133" t="s">
        <v>416</v>
      </c>
      <c r="B27" s="134">
        <f>SUM(B24:B26)</f>
        <v>262000</v>
      </c>
    </row>
    <row r="30" spans="1:3" s="209" customFormat="1" ht="51" customHeight="1" x14ac:dyDescent="0.25">
      <c r="A30" s="675" t="s">
        <v>642</v>
      </c>
      <c r="B30" s="675"/>
      <c r="C30" s="675"/>
    </row>
    <row r="31" spans="1:3" s="209" customFormat="1" x14ac:dyDescent="0.25"/>
    <row r="32" spans="1:3" s="209" customFormat="1" x14ac:dyDescent="0.25">
      <c r="A32" s="112" t="s">
        <v>695</v>
      </c>
    </row>
    <row r="33" spans="1:4" s="209" customFormat="1" x14ac:dyDescent="0.25">
      <c r="A33" s="112"/>
    </row>
    <row r="34" spans="1:4" x14ac:dyDescent="0.25">
      <c r="A34" s="691" t="s">
        <v>678</v>
      </c>
      <c r="B34" s="691"/>
      <c r="C34" s="691"/>
      <c r="D34" s="691"/>
    </row>
    <row r="35" spans="1:4" x14ac:dyDescent="0.25">
      <c r="A35" s="347" t="s">
        <v>679</v>
      </c>
      <c r="B35" s="347" t="s">
        <v>680</v>
      </c>
      <c r="C35" s="347" t="s">
        <v>681</v>
      </c>
      <c r="D35" s="446" t="s">
        <v>682</v>
      </c>
    </row>
    <row r="36" spans="1:4" x14ac:dyDescent="0.25">
      <c r="A36" s="347" t="s">
        <v>683</v>
      </c>
      <c r="B36" s="347" t="s">
        <v>684</v>
      </c>
      <c r="C36" s="347" t="s">
        <v>685</v>
      </c>
      <c r="D36" s="446" t="s">
        <v>682</v>
      </c>
    </row>
    <row r="37" spans="1:4" x14ac:dyDescent="0.25">
      <c r="A37" s="347" t="s">
        <v>686</v>
      </c>
      <c r="B37" s="347" t="s">
        <v>680</v>
      </c>
      <c r="C37" s="347" t="s">
        <v>687</v>
      </c>
      <c r="D37" s="446" t="s">
        <v>682</v>
      </c>
    </row>
    <row r="38" spans="1:4" x14ac:dyDescent="0.25">
      <c r="A38" s="347"/>
      <c r="B38" s="347"/>
      <c r="C38" s="347"/>
      <c r="D38" s="347"/>
    </row>
    <row r="39" spans="1:4" x14ac:dyDescent="0.25">
      <c r="A39" s="691" t="s">
        <v>688</v>
      </c>
      <c r="B39" s="691"/>
      <c r="C39" s="691"/>
      <c r="D39" s="691"/>
    </row>
    <row r="40" spans="1:4" x14ac:dyDescent="0.25">
      <c r="A40" s="347" t="s">
        <v>689</v>
      </c>
      <c r="B40" s="347" t="s">
        <v>680</v>
      </c>
      <c r="C40" s="347" t="s">
        <v>690</v>
      </c>
      <c r="D40" s="446" t="s">
        <v>682</v>
      </c>
    </row>
    <row r="41" spans="1:4" x14ac:dyDescent="0.25">
      <c r="A41" s="347" t="s">
        <v>691</v>
      </c>
      <c r="B41" s="347" t="s">
        <v>692</v>
      </c>
      <c r="C41" s="347" t="s">
        <v>693</v>
      </c>
      <c r="D41" s="446" t="s">
        <v>682</v>
      </c>
    </row>
    <row r="42" spans="1:4" x14ac:dyDescent="0.25">
      <c r="A42" s="347" t="s">
        <v>686</v>
      </c>
      <c r="B42" s="347" t="s">
        <v>680</v>
      </c>
      <c r="C42" s="347" t="s">
        <v>694</v>
      </c>
      <c r="D42" s="446" t="s">
        <v>682</v>
      </c>
    </row>
  </sheetData>
  <mergeCells count="6">
    <mergeCell ref="A39:D39"/>
    <mergeCell ref="A2:E2"/>
    <mergeCell ref="A14:E14"/>
    <mergeCell ref="A30:C30"/>
    <mergeCell ref="B1:E1"/>
    <mergeCell ref="A34:D34"/>
  </mergeCells>
  <printOptions horizontalCentered="1"/>
  <pageMargins left="1.0236220472440944" right="0.74803149606299213" top="0.51181102362204722" bottom="0.5" header="0.51181102362204722" footer="0.28999999999999998"/>
  <pageSetup paperSize="9" scale="7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G30"/>
  <sheetViews>
    <sheetView showGridLines="0" zoomScaleNormal="100" zoomScaleSheetLayoutView="100" workbookViewId="0">
      <selection sqref="A1:B1"/>
    </sheetView>
  </sheetViews>
  <sheetFormatPr defaultColWidth="9.140625" defaultRowHeight="16.5" customHeight="1" x14ac:dyDescent="0.25"/>
  <cols>
    <col min="1" max="1" width="14.5703125" style="25" customWidth="1"/>
    <col min="2" max="2" width="17.28515625" style="25" customWidth="1"/>
    <col min="3" max="3" width="27.140625" style="25" customWidth="1"/>
    <col min="4" max="4" width="11.28515625" style="25" customWidth="1"/>
    <col min="5" max="16384" width="9.140625" style="25"/>
  </cols>
  <sheetData>
    <row r="1" spans="1:7" ht="65.25" customHeight="1" x14ac:dyDescent="0.25">
      <c r="A1" s="694"/>
      <c r="B1" s="694"/>
      <c r="C1" s="41"/>
      <c r="D1" s="624" t="s">
        <v>442</v>
      </c>
      <c r="E1" s="624"/>
      <c r="F1" s="624"/>
    </row>
    <row r="2" spans="1:7" ht="56.25" customHeight="1" x14ac:dyDescent="0.25">
      <c r="A2" s="630" t="s">
        <v>417</v>
      </c>
      <c r="B2" s="630"/>
      <c r="C2" s="630"/>
      <c r="D2" s="630"/>
      <c r="E2" s="630"/>
      <c r="F2" s="630"/>
      <c r="G2" s="145"/>
    </row>
    <row r="3" spans="1:7" ht="16.5" customHeight="1" x14ac:dyDescent="0.25">
      <c r="A3" s="14" t="s">
        <v>418</v>
      </c>
      <c r="B3" s="14"/>
      <c r="C3" s="14"/>
      <c r="D3" s="14"/>
      <c r="E3" s="14"/>
      <c r="G3" s="145"/>
    </row>
    <row r="4" spans="1:7" ht="16.5" customHeight="1" x14ac:dyDescent="0.25">
      <c r="A4" s="14"/>
      <c r="B4" s="14"/>
      <c r="C4" s="14"/>
      <c r="D4" s="14"/>
      <c r="E4" s="14"/>
    </row>
    <row r="7" spans="1:7" ht="33.75" customHeight="1" x14ac:dyDescent="0.25">
      <c r="A7" s="25" t="s">
        <v>446</v>
      </c>
      <c r="B7" s="158" t="s">
        <v>447</v>
      </c>
      <c r="C7" s="156"/>
    </row>
    <row r="8" spans="1:7" ht="16.5" customHeight="1" x14ac:dyDescent="0.25">
      <c r="A8" s="164" t="s">
        <v>82</v>
      </c>
      <c r="B8" s="159">
        <v>35000</v>
      </c>
      <c r="C8" s="162" t="s">
        <v>453</v>
      </c>
      <c r="D8" s="155"/>
    </row>
    <row r="9" spans="1:7" ht="16.5" customHeight="1" x14ac:dyDescent="0.25">
      <c r="B9" s="160">
        <v>20000</v>
      </c>
      <c r="C9" s="156" t="s">
        <v>454</v>
      </c>
    </row>
    <row r="10" spans="1:7" ht="16.5" customHeight="1" x14ac:dyDescent="0.25">
      <c r="B10" s="160">
        <v>20000</v>
      </c>
      <c r="C10" s="156" t="s">
        <v>455</v>
      </c>
    </row>
    <row r="11" spans="1:7" ht="16.5" customHeight="1" x14ac:dyDescent="0.25">
      <c r="A11" s="164" t="s">
        <v>448</v>
      </c>
      <c r="B11" s="159">
        <v>40000</v>
      </c>
      <c r="C11" s="162" t="s">
        <v>453</v>
      </c>
      <c r="D11" s="155"/>
    </row>
    <row r="12" spans="1:7" ht="16.5" customHeight="1" x14ac:dyDescent="0.25">
      <c r="B12" s="160">
        <v>22000</v>
      </c>
      <c r="C12" s="156" t="s">
        <v>454</v>
      </c>
    </row>
    <row r="13" spans="1:7" ht="16.5" customHeight="1" x14ac:dyDescent="0.25">
      <c r="B13" s="160">
        <v>22000</v>
      </c>
      <c r="C13" s="156" t="s">
        <v>455</v>
      </c>
    </row>
    <row r="14" spans="1:7" ht="16.5" customHeight="1" x14ac:dyDescent="0.25">
      <c r="A14" s="155" t="s">
        <v>449</v>
      </c>
      <c r="B14" s="212" t="s">
        <v>450</v>
      </c>
      <c r="C14" s="157" t="s">
        <v>450</v>
      </c>
      <c r="D14" s="155"/>
    </row>
    <row r="15" spans="1:7" ht="16.5" customHeight="1" x14ac:dyDescent="0.25">
      <c r="A15" s="110" t="s">
        <v>420</v>
      </c>
      <c r="B15" s="160">
        <v>1000</v>
      </c>
      <c r="C15" s="160"/>
    </row>
    <row r="16" spans="1:7" ht="16.5" customHeight="1" x14ac:dyDescent="0.25">
      <c r="A16" s="110" t="s">
        <v>421</v>
      </c>
      <c r="B16" s="160">
        <v>2000</v>
      </c>
      <c r="C16" s="160"/>
    </row>
    <row r="17" spans="1:6" ht="16.5" customHeight="1" x14ac:dyDescent="0.25">
      <c r="A17" s="110" t="s">
        <v>653</v>
      </c>
      <c r="B17" s="160">
        <v>5000</v>
      </c>
      <c r="C17" s="160"/>
    </row>
    <row r="18" spans="1:6" ht="16.5" customHeight="1" x14ac:dyDescent="0.25">
      <c r="A18" s="110" t="s">
        <v>600</v>
      </c>
      <c r="B18" s="160">
        <v>8000</v>
      </c>
      <c r="C18" s="160"/>
    </row>
    <row r="19" spans="1:6" ht="18" customHeight="1" x14ac:dyDescent="0.25">
      <c r="A19" s="110" t="s">
        <v>601</v>
      </c>
      <c r="B19" s="160">
        <v>16000</v>
      </c>
      <c r="C19" s="160"/>
      <c r="D19" s="40"/>
    </row>
    <row r="20" spans="1:6" ht="18" customHeight="1" x14ac:dyDescent="0.25">
      <c r="A20" s="163"/>
      <c r="B20" s="161"/>
      <c r="C20" s="40"/>
      <c r="D20" s="40"/>
    </row>
    <row r="22" spans="1:6" ht="16.5" customHeight="1" x14ac:dyDescent="0.25">
      <c r="A22" s="25" t="s">
        <v>456</v>
      </c>
    </row>
    <row r="24" spans="1:6" ht="33" customHeight="1" x14ac:dyDescent="0.25">
      <c r="A24" s="639" t="s">
        <v>644</v>
      </c>
      <c r="B24" s="639"/>
      <c r="C24" s="639"/>
      <c r="D24" s="639"/>
      <c r="E24" s="639"/>
      <c r="F24" s="639"/>
    </row>
    <row r="26" spans="1:6" ht="16.5" customHeight="1" x14ac:dyDescent="0.25">
      <c r="A26" s="25" t="s">
        <v>451</v>
      </c>
    </row>
    <row r="28" spans="1:6" ht="16.5" customHeight="1" x14ac:dyDescent="0.25">
      <c r="A28" s="25" t="s">
        <v>452</v>
      </c>
    </row>
    <row r="29" spans="1:6" s="145" customFormat="1" ht="16.5" customHeight="1" x14ac:dyDescent="0.25"/>
    <row r="30" spans="1:6" ht="16.5" customHeight="1" x14ac:dyDescent="0.25">
      <c r="A30" s="25" t="s">
        <v>749</v>
      </c>
      <c r="D30" s="695" t="s">
        <v>750</v>
      </c>
      <c r="E30" s="695"/>
      <c r="F30" s="695"/>
    </row>
  </sheetData>
  <mergeCells count="5">
    <mergeCell ref="A2:F2"/>
    <mergeCell ref="A24:F24"/>
    <mergeCell ref="A1:B1"/>
    <mergeCell ref="D1:F1"/>
    <mergeCell ref="D30:F30"/>
  </mergeCells>
  <printOptions horizontalCentered="1"/>
  <pageMargins left="0.54" right="0.74803149606299213" top="0.6" bottom="0.98425196850393704" header="0.4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H10" sqref="H10"/>
    </sheetView>
  </sheetViews>
  <sheetFormatPr defaultRowHeight="15" x14ac:dyDescent="0.25"/>
  <cols>
    <col min="1" max="1" width="16.28515625" bestFit="1" customWidth="1"/>
    <col min="2" max="2" width="8.42578125" bestFit="1" customWidth="1"/>
    <col min="3" max="3" width="9.28515625" bestFit="1" customWidth="1"/>
    <col min="4" max="4" width="10.140625" bestFit="1" customWidth="1"/>
  </cols>
  <sheetData>
    <row r="1" spans="1:6" ht="43.5" customHeight="1" x14ac:dyDescent="0.25">
      <c r="A1" s="624" t="s">
        <v>443</v>
      </c>
      <c r="B1" s="624"/>
      <c r="C1" s="624"/>
      <c r="D1" s="624"/>
      <c r="E1" s="624"/>
      <c r="F1" s="624"/>
    </row>
    <row r="2" spans="1:6" ht="60" customHeight="1" x14ac:dyDescent="0.25">
      <c r="A2" s="626" t="s">
        <v>672</v>
      </c>
      <c r="B2" s="626"/>
      <c r="C2" s="626"/>
      <c r="D2" s="626"/>
      <c r="E2" s="626"/>
      <c r="F2" s="626"/>
    </row>
    <row r="3" spans="1:6" x14ac:dyDescent="0.25">
      <c r="A3" s="118" t="s">
        <v>419</v>
      </c>
      <c r="B3" s="25"/>
      <c r="C3" s="25"/>
      <c r="D3" s="25"/>
      <c r="E3" s="25"/>
      <c r="F3" s="25"/>
    </row>
    <row r="4" spans="1:6" x14ac:dyDescent="0.25">
      <c r="A4" s="111" t="s">
        <v>418</v>
      </c>
      <c r="B4" s="25"/>
      <c r="C4" s="25"/>
      <c r="D4" s="25"/>
      <c r="E4" s="166"/>
      <c r="F4" s="25"/>
    </row>
    <row r="5" spans="1:6" x14ac:dyDescent="0.25">
      <c r="A5" s="25"/>
      <c r="B5" s="25"/>
      <c r="C5" s="25"/>
      <c r="D5" s="25"/>
      <c r="E5" s="25"/>
      <c r="F5" s="25"/>
    </row>
    <row r="6" spans="1:6" x14ac:dyDescent="0.25">
      <c r="A6" s="25"/>
      <c r="B6" s="419" t="s">
        <v>420</v>
      </c>
      <c r="C6" s="419" t="s">
        <v>421</v>
      </c>
      <c r="D6" s="86"/>
      <c r="E6" s="25"/>
      <c r="F6" s="25"/>
    </row>
    <row r="7" spans="1:6" x14ac:dyDescent="0.25">
      <c r="A7" s="420" t="s">
        <v>422</v>
      </c>
      <c r="B7" s="76">
        <v>39</v>
      </c>
      <c r="C7" s="76">
        <v>55</v>
      </c>
      <c r="D7" s="25"/>
      <c r="E7" s="25"/>
      <c r="F7" s="25"/>
    </row>
    <row r="8" spans="1:6" x14ac:dyDescent="0.25">
      <c r="A8" s="52" t="s">
        <v>106</v>
      </c>
      <c r="B8" s="29">
        <f>ROUND(B7*0.27,0)</f>
        <v>11</v>
      </c>
      <c r="C8" s="29">
        <f>ROUND(C7*0.27,0)</f>
        <v>15</v>
      </c>
      <c r="D8" s="25"/>
      <c r="E8" s="25"/>
      <c r="F8" s="25"/>
    </row>
    <row r="9" spans="1:6" x14ac:dyDescent="0.25">
      <c r="A9" s="135" t="s">
        <v>86</v>
      </c>
      <c r="B9" s="136">
        <f>B7+B8</f>
        <v>50</v>
      </c>
      <c r="C9" s="136">
        <f>C7+C8</f>
        <v>70</v>
      </c>
      <c r="D9" s="25"/>
      <c r="E9" s="25"/>
      <c r="F9" s="25"/>
    </row>
    <row r="10" spans="1:6" x14ac:dyDescent="0.25">
      <c r="A10" s="25"/>
      <c r="B10" s="25"/>
      <c r="C10" s="25"/>
      <c r="D10" s="25"/>
      <c r="E10" s="25"/>
      <c r="F10" s="25"/>
    </row>
    <row r="11" spans="1:6" x14ac:dyDescent="0.25">
      <c r="A11" s="118"/>
      <c r="B11" s="25"/>
      <c r="C11" s="25"/>
      <c r="D11" s="25"/>
      <c r="E11" s="25"/>
      <c r="F11" s="25"/>
    </row>
    <row r="12" spans="1:6" x14ac:dyDescent="0.25">
      <c r="A12" s="111"/>
      <c r="B12" s="25"/>
      <c r="C12" s="25"/>
      <c r="D12" s="25"/>
      <c r="E12" s="25"/>
      <c r="F12" s="25"/>
    </row>
    <row r="13" spans="1:6" x14ac:dyDescent="0.25">
      <c r="A13" s="25"/>
      <c r="B13" s="25"/>
      <c r="C13" s="137"/>
      <c r="D13" s="137"/>
      <c r="E13" s="25"/>
      <c r="F13" s="25"/>
    </row>
    <row r="14" spans="1:6" x14ac:dyDescent="0.25">
      <c r="A14" s="25"/>
      <c r="B14" s="418"/>
      <c r="C14" s="418"/>
      <c r="D14" s="418"/>
      <c r="E14" s="25"/>
      <c r="F14" s="25"/>
    </row>
    <row r="15" spans="1:6" x14ac:dyDescent="0.25">
      <c r="A15" s="420"/>
      <c r="B15" s="64"/>
      <c r="C15" s="64"/>
      <c r="D15" s="64"/>
      <c r="E15" s="25"/>
      <c r="F15" s="25"/>
    </row>
    <row r="16" spans="1:6" x14ac:dyDescent="0.25">
      <c r="A16" s="421"/>
      <c r="B16" s="422"/>
      <c r="C16" s="422"/>
      <c r="D16" s="422"/>
      <c r="E16" s="25"/>
      <c r="F16" s="25"/>
    </row>
    <row r="17" spans="1:6" x14ac:dyDescent="0.25">
      <c r="A17" s="135"/>
      <c r="B17" s="136"/>
      <c r="C17" s="136"/>
      <c r="D17" s="136"/>
      <c r="E17" s="25"/>
      <c r="F17" s="25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zoomScaleNormal="100" zoomScaleSheetLayoutView="100" workbookViewId="0">
      <selection sqref="A1:C17"/>
    </sheetView>
  </sheetViews>
  <sheetFormatPr defaultColWidth="9.140625" defaultRowHeight="15" x14ac:dyDescent="0.25"/>
  <cols>
    <col min="1" max="1" width="51.42578125" style="56" customWidth="1"/>
    <col min="2" max="2" width="12.85546875" style="56" customWidth="1"/>
    <col min="3" max="3" width="18.28515625" style="56" bestFit="1" customWidth="1"/>
    <col min="4" max="4" width="4" style="56" bestFit="1" customWidth="1"/>
    <col min="5" max="16384" width="9.140625" style="56"/>
  </cols>
  <sheetData>
    <row r="1" spans="1:3" ht="45" customHeight="1" x14ac:dyDescent="0.25">
      <c r="A1" s="621" t="s">
        <v>561</v>
      </c>
      <c r="B1" s="621"/>
      <c r="C1" s="621"/>
    </row>
    <row r="2" spans="1:3" ht="43.5" customHeight="1" x14ac:dyDescent="0.25">
      <c r="A2" s="630" t="s">
        <v>563</v>
      </c>
      <c r="B2" s="630"/>
      <c r="C2" s="630"/>
    </row>
    <row r="3" spans="1:3" x14ac:dyDescent="0.25">
      <c r="A3" s="626" t="s">
        <v>144</v>
      </c>
      <c r="B3" s="626"/>
    </row>
    <row r="4" spans="1:3" x14ac:dyDescent="0.25">
      <c r="A4" s="42" t="s">
        <v>562</v>
      </c>
      <c r="B4" s="42"/>
    </row>
    <row r="5" spans="1:3" x14ac:dyDescent="0.25">
      <c r="A5" s="42"/>
      <c r="B5" s="42"/>
    </row>
    <row r="6" spans="1:3" ht="45" customHeight="1" x14ac:dyDescent="0.25">
      <c r="A6" s="639" t="s">
        <v>564</v>
      </c>
      <c r="B6" s="639"/>
      <c r="C6" s="639"/>
    </row>
    <row r="7" spans="1:3" x14ac:dyDescent="0.25">
      <c r="A7" s="200"/>
      <c r="B7" s="200"/>
    </row>
    <row r="8" spans="1:3" x14ac:dyDescent="0.25">
      <c r="A8" s="42" t="s">
        <v>159</v>
      </c>
      <c r="B8" s="43"/>
      <c r="C8" s="253" t="s">
        <v>160</v>
      </c>
    </row>
    <row r="9" spans="1:3" x14ac:dyDescent="0.25">
      <c r="A9" s="42" t="s">
        <v>464</v>
      </c>
      <c r="B9" s="42"/>
    </row>
    <row r="10" spans="1:3" x14ac:dyDescent="0.25">
      <c r="A10" s="42" t="s">
        <v>161</v>
      </c>
      <c r="B10" s="42"/>
    </row>
    <row r="11" spans="1:3" x14ac:dyDescent="0.25">
      <c r="A11" s="42" t="s">
        <v>162</v>
      </c>
      <c r="B11" s="42"/>
    </row>
    <row r="12" spans="1:3" s="93" customFormat="1" x14ac:dyDescent="0.25">
      <c r="A12" s="200" t="s">
        <v>567</v>
      </c>
      <c r="B12" s="200"/>
      <c r="C12" s="253"/>
    </row>
    <row r="13" spans="1:3" s="93" customFormat="1" x14ac:dyDescent="0.25">
      <c r="A13" s="225" t="s">
        <v>712</v>
      </c>
      <c r="B13" s="200"/>
      <c r="C13" s="253" t="s">
        <v>160</v>
      </c>
    </row>
    <row r="14" spans="1:3" x14ac:dyDescent="0.25">
      <c r="A14" s="42" t="s">
        <v>565</v>
      </c>
      <c r="B14" s="42"/>
      <c r="C14" s="139"/>
    </row>
    <row r="15" spans="1:3" x14ac:dyDescent="0.25">
      <c r="A15" s="223" t="s">
        <v>86</v>
      </c>
      <c r="B15" s="223"/>
      <c r="C15" s="254" t="s">
        <v>119</v>
      </c>
    </row>
    <row r="16" spans="1:3" x14ac:dyDescent="0.25">
      <c r="A16" s="44" t="s">
        <v>106</v>
      </c>
      <c r="B16" s="44"/>
      <c r="C16" s="255" t="s">
        <v>119</v>
      </c>
    </row>
    <row r="17" spans="1:3" ht="30" customHeight="1" x14ac:dyDescent="0.25">
      <c r="A17" s="31" t="s">
        <v>107</v>
      </c>
      <c r="B17" s="31"/>
      <c r="C17" s="78" t="s">
        <v>119</v>
      </c>
    </row>
    <row r="18" spans="1:3" x14ac:dyDescent="0.25">
      <c r="A18" s="42"/>
      <c r="B18" s="42"/>
    </row>
    <row r="19" spans="1:3" x14ac:dyDescent="0.25">
      <c r="A19" s="42"/>
      <c r="B19" s="42"/>
    </row>
  </sheetData>
  <mergeCells count="4">
    <mergeCell ref="A3:B3"/>
    <mergeCell ref="A6:C6"/>
    <mergeCell ref="A1:C1"/>
    <mergeCell ref="A2:C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4"/>
  <sheetViews>
    <sheetView tabSelected="1" zoomScaleNormal="100" zoomScaleSheetLayoutView="100" workbookViewId="0">
      <selection activeCell="L38" sqref="L38"/>
    </sheetView>
  </sheetViews>
  <sheetFormatPr defaultColWidth="9.140625" defaultRowHeight="15" x14ac:dyDescent="0.25"/>
  <cols>
    <col min="1" max="1" width="20" style="272" customWidth="1"/>
    <col min="2" max="2" width="15" style="272" customWidth="1"/>
    <col min="3" max="3" width="15.5703125" style="272" customWidth="1"/>
    <col min="4" max="4" width="10.7109375" style="759" customWidth="1"/>
    <col min="5" max="5" width="10.5703125" style="759" customWidth="1"/>
    <col min="6" max="6" width="9.140625" style="272"/>
    <col min="7" max="7" width="15.28515625" style="758" bestFit="1" customWidth="1"/>
    <col min="8" max="16384" width="9.140625" style="758"/>
  </cols>
  <sheetData>
    <row r="1" spans="1:6" x14ac:dyDescent="0.25">
      <c r="A1" s="817" t="s">
        <v>1129</v>
      </c>
      <c r="B1" s="817"/>
      <c r="C1" s="817"/>
      <c r="D1" s="817"/>
      <c r="E1" s="817"/>
      <c r="F1" s="817"/>
    </row>
    <row r="2" spans="1:6" x14ac:dyDescent="0.25">
      <c r="A2" s="816" t="s">
        <v>1128</v>
      </c>
      <c r="B2" s="816"/>
      <c r="C2" s="816"/>
      <c r="D2" s="815"/>
      <c r="E2" s="815"/>
    </row>
    <row r="3" spans="1:6" ht="15.75" thickBot="1" x14ac:dyDescent="0.3">
      <c r="A3" s="814"/>
      <c r="B3" s="814"/>
      <c r="C3" s="814"/>
      <c r="D3" s="813"/>
      <c r="E3" s="813"/>
    </row>
    <row r="4" spans="1:6" ht="20.25" customHeight="1" x14ac:dyDescent="0.25">
      <c r="A4" s="792" t="s">
        <v>1082</v>
      </c>
      <c r="B4" s="791" t="s">
        <v>1081</v>
      </c>
      <c r="C4" s="789"/>
      <c r="D4" s="812"/>
      <c r="E4" s="812"/>
    </row>
    <row r="5" spans="1:6" ht="15.75" thickBot="1" x14ac:dyDescent="0.3">
      <c r="A5" s="788"/>
      <c r="B5" s="787" t="s">
        <v>1022</v>
      </c>
      <c r="C5" s="811" t="s">
        <v>1080</v>
      </c>
      <c r="D5" s="810"/>
      <c r="E5" s="810"/>
    </row>
    <row r="6" spans="1:6" ht="20.100000000000001" customHeight="1" x14ac:dyDescent="0.25">
      <c r="A6" s="809" t="s">
        <v>1127</v>
      </c>
      <c r="B6" s="808"/>
      <c r="C6" s="807"/>
      <c r="D6" s="806"/>
      <c r="E6" s="806"/>
    </row>
    <row r="7" spans="1:6" ht="20.100000000000001" customHeight="1" x14ac:dyDescent="0.25">
      <c r="A7" s="804" t="s">
        <v>1118</v>
      </c>
      <c r="B7" s="801">
        <v>237.6</v>
      </c>
      <c r="C7" s="800">
        <v>264</v>
      </c>
      <c r="D7" s="796"/>
      <c r="E7" s="796"/>
    </row>
    <row r="8" spans="1:6" ht="20.100000000000001" customHeight="1" x14ac:dyDescent="0.25">
      <c r="A8" s="804" t="s">
        <v>1126</v>
      </c>
      <c r="B8" s="801">
        <v>297.89999999999998</v>
      </c>
      <c r="C8" s="800">
        <v>331</v>
      </c>
      <c r="D8" s="796"/>
      <c r="E8" s="796"/>
    </row>
    <row r="9" spans="1:6" ht="20.100000000000001" customHeight="1" x14ac:dyDescent="0.25">
      <c r="A9" s="804" t="s">
        <v>1115</v>
      </c>
      <c r="B9" s="801">
        <v>237.6</v>
      </c>
      <c r="C9" s="800">
        <v>298</v>
      </c>
      <c r="D9" s="796"/>
      <c r="E9" s="796"/>
    </row>
    <row r="10" spans="1:6" ht="20.100000000000001" customHeight="1" x14ac:dyDescent="0.25">
      <c r="A10" s="804" t="s">
        <v>1116</v>
      </c>
      <c r="B10" s="801">
        <v>159.30000000000001</v>
      </c>
      <c r="C10" s="800">
        <v>311</v>
      </c>
      <c r="D10" s="796"/>
      <c r="E10" s="796"/>
    </row>
    <row r="11" spans="1:6" ht="20.100000000000001" customHeight="1" x14ac:dyDescent="0.25">
      <c r="A11" s="804" t="s">
        <v>1112</v>
      </c>
      <c r="B11" s="801">
        <v>297.89999999999998</v>
      </c>
      <c r="C11" s="800">
        <v>331</v>
      </c>
      <c r="D11" s="796"/>
      <c r="E11" s="796"/>
    </row>
    <row r="12" spans="1:6" ht="20.100000000000001" customHeight="1" x14ac:dyDescent="0.25">
      <c r="A12" s="804" t="s">
        <v>1110</v>
      </c>
      <c r="B12" s="801">
        <v>263.7</v>
      </c>
      <c r="C12" s="800">
        <v>431</v>
      </c>
      <c r="D12" s="796"/>
      <c r="E12" s="796"/>
    </row>
    <row r="13" spans="1:6" ht="20.100000000000001" customHeight="1" x14ac:dyDescent="0.25">
      <c r="A13" s="804" t="s">
        <v>1109</v>
      </c>
      <c r="B13" s="801">
        <v>263.7</v>
      </c>
      <c r="C13" s="800">
        <v>431</v>
      </c>
      <c r="D13" s="796"/>
      <c r="E13" s="796"/>
    </row>
    <row r="14" spans="1:6" ht="20.100000000000001" customHeight="1" x14ac:dyDescent="0.25">
      <c r="A14" s="804" t="s">
        <v>1125</v>
      </c>
      <c r="B14" s="801">
        <v>297.89999999999998</v>
      </c>
      <c r="C14" s="803">
        <v>331</v>
      </c>
      <c r="D14" s="793"/>
      <c r="E14" s="793"/>
    </row>
    <row r="15" spans="1:6" ht="20.100000000000001" customHeight="1" x14ac:dyDescent="0.25">
      <c r="A15" s="804" t="s">
        <v>1124</v>
      </c>
      <c r="B15" s="801">
        <v>227.7</v>
      </c>
      <c r="C15" s="800">
        <v>253</v>
      </c>
      <c r="D15" s="796"/>
      <c r="E15" s="796"/>
    </row>
    <row r="16" spans="1:6" ht="20.100000000000001" customHeight="1" x14ac:dyDescent="0.25">
      <c r="A16" s="804" t="s">
        <v>1097</v>
      </c>
      <c r="B16" s="801">
        <v>304.2</v>
      </c>
      <c r="C16" s="803">
        <v>338</v>
      </c>
      <c r="D16" s="793"/>
      <c r="E16" s="793"/>
    </row>
    <row r="17" spans="1:5" ht="20.100000000000001" customHeight="1" x14ac:dyDescent="0.25">
      <c r="A17" s="804" t="s">
        <v>1096</v>
      </c>
      <c r="B17" s="801">
        <v>288.89999999999998</v>
      </c>
      <c r="C17" s="803">
        <v>386</v>
      </c>
      <c r="D17" s="793"/>
      <c r="E17" s="793"/>
    </row>
    <row r="18" spans="1:5" ht="20.100000000000001" customHeight="1" x14ac:dyDescent="0.25">
      <c r="A18" s="804" t="s">
        <v>1094</v>
      </c>
      <c r="B18" s="801">
        <v>263.7</v>
      </c>
      <c r="C18" s="800">
        <v>431</v>
      </c>
      <c r="D18" s="796"/>
      <c r="E18" s="796"/>
    </row>
    <row r="19" spans="1:5" ht="20.100000000000001" customHeight="1" x14ac:dyDescent="0.25">
      <c r="A19" s="804" t="s">
        <v>1123</v>
      </c>
      <c r="B19" s="801">
        <v>297.89999999999998</v>
      </c>
      <c r="C19" s="800">
        <v>331</v>
      </c>
      <c r="D19" s="796"/>
      <c r="E19" s="796"/>
    </row>
    <row r="20" spans="1:5" ht="20.100000000000001" customHeight="1" x14ac:dyDescent="0.25">
      <c r="A20" s="804" t="s">
        <v>1086</v>
      </c>
      <c r="B20" s="805">
        <v>216</v>
      </c>
      <c r="C20" s="803">
        <v>391.78</v>
      </c>
      <c r="D20" s="793"/>
      <c r="E20" s="793"/>
    </row>
    <row r="21" spans="1:5" ht="20.100000000000001" customHeight="1" x14ac:dyDescent="0.25">
      <c r="A21" s="804" t="s">
        <v>1085</v>
      </c>
      <c r="B21" s="805">
        <v>221.4</v>
      </c>
      <c r="C21" s="803">
        <v>298</v>
      </c>
      <c r="D21" s="793"/>
      <c r="E21" s="793"/>
    </row>
    <row r="22" spans="1:5" ht="20.100000000000001" customHeight="1" x14ac:dyDescent="0.25">
      <c r="A22" s="804" t="s">
        <v>370</v>
      </c>
      <c r="B22" s="801">
        <v>229.5</v>
      </c>
      <c r="C22" s="800">
        <v>255</v>
      </c>
      <c r="D22" s="796"/>
      <c r="E22" s="796"/>
    </row>
    <row r="23" spans="1:5" ht="20.100000000000001" customHeight="1" x14ac:dyDescent="0.25">
      <c r="A23" s="804" t="s">
        <v>1076</v>
      </c>
      <c r="B23" s="801">
        <v>263.7</v>
      </c>
      <c r="C23" s="800">
        <v>431</v>
      </c>
      <c r="D23" s="796"/>
      <c r="E23" s="796"/>
    </row>
    <row r="24" spans="1:5" ht="20.100000000000001" customHeight="1" x14ac:dyDescent="0.25">
      <c r="A24" s="804" t="s">
        <v>1122</v>
      </c>
      <c r="B24" s="801">
        <v>297.89999999999998</v>
      </c>
      <c r="C24" s="800">
        <v>331</v>
      </c>
      <c r="D24" s="796"/>
      <c r="E24" s="796"/>
    </row>
    <row r="25" spans="1:5" ht="20.100000000000001" customHeight="1" x14ac:dyDescent="0.25">
      <c r="A25" s="804" t="s">
        <v>1072</v>
      </c>
      <c r="B25" s="805">
        <v>216</v>
      </c>
      <c r="C25" s="803">
        <v>391.78</v>
      </c>
      <c r="D25" s="793"/>
      <c r="E25" s="793"/>
    </row>
    <row r="26" spans="1:5" ht="20.100000000000001" customHeight="1" x14ac:dyDescent="0.25">
      <c r="A26" s="804" t="s">
        <v>1071</v>
      </c>
      <c r="B26" s="801">
        <v>263.7</v>
      </c>
      <c r="C26" s="800">
        <v>431</v>
      </c>
      <c r="D26" s="796"/>
      <c r="E26" s="796"/>
    </row>
    <row r="27" spans="1:5" ht="20.100000000000001" customHeight="1" x14ac:dyDescent="0.25">
      <c r="A27" s="804" t="s">
        <v>1121</v>
      </c>
      <c r="B27" s="801">
        <v>297.89999999999998</v>
      </c>
      <c r="C27" s="800">
        <v>331</v>
      </c>
      <c r="D27" s="796"/>
      <c r="E27" s="796"/>
    </row>
    <row r="28" spans="1:5" ht="20.100000000000001" customHeight="1" x14ac:dyDescent="0.25">
      <c r="A28" s="804" t="s">
        <v>1069</v>
      </c>
      <c r="B28" s="801">
        <v>304.2</v>
      </c>
      <c r="C28" s="800">
        <v>338</v>
      </c>
      <c r="D28" s="796"/>
      <c r="E28" s="796"/>
    </row>
    <row r="29" spans="1:5" ht="20.100000000000001" customHeight="1" x14ac:dyDescent="0.25">
      <c r="A29" s="804" t="s">
        <v>1068</v>
      </c>
      <c r="B29" s="801">
        <v>263.7</v>
      </c>
      <c r="C29" s="800">
        <v>431</v>
      </c>
      <c r="D29" s="796"/>
      <c r="E29" s="796"/>
    </row>
    <row r="30" spans="1:5" ht="20.100000000000001" customHeight="1" x14ac:dyDescent="0.25">
      <c r="A30" s="804" t="s">
        <v>1066</v>
      </c>
      <c r="B30" s="801">
        <v>261</v>
      </c>
      <c r="C30" s="800">
        <v>439</v>
      </c>
      <c r="D30" s="796"/>
      <c r="E30" s="796"/>
    </row>
    <row r="31" spans="1:5" ht="20.100000000000001" customHeight="1" x14ac:dyDescent="0.25">
      <c r="A31" s="804" t="s">
        <v>1120</v>
      </c>
      <c r="B31" s="801">
        <v>297.89999999999998</v>
      </c>
      <c r="C31" s="800">
        <v>331</v>
      </c>
      <c r="D31" s="796"/>
      <c r="E31" s="796"/>
    </row>
    <row r="32" spans="1:5" ht="20.100000000000001" customHeight="1" x14ac:dyDescent="0.25">
      <c r="A32" s="804" t="s">
        <v>1060</v>
      </c>
      <c r="B32" s="801">
        <v>263.7</v>
      </c>
      <c r="C32" s="800">
        <v>431</v>
      </c>
      <c r="D32" s="796"/>
      <c r="E32" s="796"/>
    </row>
    <row r="33" spans="1:5" ht="20.100000000000001" customHeight="1" x14ac:dyDescent="0.25">
      <c r="A33" s="804" t="s">
        <v>1119</v>
      </c>
      <c r="B33" s="801">
        <v>297.89999999999998</v>
      </c>
      <c r="C33" s="803">
        <v>331</v>
      </c>
      <c r="D33" s="793"/>
      <c r="E33" s="793"/>
    </row>
    <row r="34" spans="1:5" ht="20.100000000000001" customHeight="1" x14ac:dyDescent="0.25">
      <c r="A34" s="804" t="s">
        <v>1048</v>
      </c>
      <c r="B34" s="801">
        <v>297.89999999999998</v>
      </c>
      <c r="C34" s="803">
        <v>514.79999999999995</v>
      </c>
      <c r="D34" s="793"/>
      <c r="E34" s="793"/>
    </row>
    <row r="35" spans="1:5" ht="20.100000000000001" customHeight="1" x14ac:dyDescent="0.25">
      <c r="A35" s="802" t="s">
        <v>1047</v>
      </c>
      <c r="B35" s="801">
        <v>284.39999999999998</v>
      </c>
      <c r="C35" s="800">
        <v>421</v>
      </c>
      <c r="D35" s="796"/>
      <c r="E35" s="796"/>
    </row>
    <row r="36" spans="1:5" ht="20.100000000000001" customHeight="1" thickBot="1" x14ac:dyDescent="0.3">
      <c r="A36" s="799" t="s">
        <v>1041</v>
      </c>
      <c r="B36" s="798">
        <v>489.6</v>
      </c>
      <c r="C36" s="797">
        <v>727.1</v>
      </c>
      <c r="D36" s="796"/>
      <c r="E36" s="796"/>
    </row>
    <row r="37" spans="1:5" ht="15.75" thickBot="1" x14ac:dyDescent="0.3">
      <c r="A37" s="795"/>
      <c r="B37" s="794"/>
      <c r="C37" s="794"/>
      <c r="D37" s="793"/>
      <c r="E37" s="793"/>
    </row>
    <row r="38" spans="1:5" ht="16.5" x14ac:dyDescent="0.25">
      <c r="A38" s="792" t="s">
        <v>1082</v>
      </c>
      <c r="B38" s="791" t="s">
        <v>1081</v>
      </c>
      <c r="C38" s="790"/>
      <c r="D38" s="790"/>
      <c r="E38" s="789"/>
    </row>
    <row r="39" spans="1:5" ht="26.25" thickBot="1" x14ac:dyDescent="0.3">
      <c r="A39" s="788"/>
      <c r="B39" s="787" t="s">
        <v>1022</v>
      </c>
      <c r="C39" s="787" t="s">
        <v>1080</v>
      </c>
      <c r="D39" s="786" t="s">
        <v>1079</v>
      </c>
      <c r="E39" s="785" t="s">
        <v>1078</v>
      </c>
    </row>
    <row r="40" spans="1:5" ht="20.100000000000001" customHeight="1" x14ac:dyDescent="0.25">
      <c r="A40" s="784" t="s">
        <v>1077</v>
      </c>
      <c r="B40" s="783"/>
      <c r="C40" s="783"/>
      <c r="D40" s="783"/>
      <c r="E40" s="782"/>
    </row>
    <row r="41" spans="1:5" ht="20.100000000000001" customHeight="1" x14ac:dyDescent="0.25">
      <c r="A41" s="769" t="s">
        <v>1118</v>
      </c>
      <c r="B41" s="767">
        <v>172.8</v>
      </c>
      <c r="C41" s="767">
        <v>319</v>
      </c>
      <c r="D41" s="767">
        <v>5.4</v>
      </c>
      <c r="E41" s="766">
        <v>6.3</v>
      </c>
    </row>
    <row r="42" spans="1:5" ht="20.100000000000001" customHeight="1" x14ac:dyDescent="0.25">
      <c r="A42" s="769" t="s">
        <v>1117</v>
      </c>
      <c r="B42" s="767">
        <v>547.55999999999995</v>
      </c>
      <c r="C42" s="767">
        <v>1598</v>
      </c>
      <c r="D42" s="767">
        <v>2.61</v>
      </c>
      <c r="E42" s="766">
        <v>2.9</v>
      </c>
    </row>
    <row r="43" spans="1:5" ht="20.100000000000001" customHeight="1" x14ac:dyDescent="0.25">
      <c r="A43" s="769" t="s">
        <v>1116</v>
      </c>
      <c r="B43" s="767">
        <v>107.1</v>
      </c>
      <c r="C43" s="767">
        <v>1168</v>
      </c>
      <c r="D43" s="768" t="s">
        <v>535</v>
      </c>
      <c r="E43" s="766">
        <v>6.8</v>
      </c>
    </row>
    <row r="44" spans="1:5" ht="20.100000000000001" customHeight="1" x14ac:dyDescent="0.25">
      <c r="A44" s="769" t="s">
        <v>1115</v>
      </c>
      <c r="B44" s="767">
        <v>138.6</v>
      </c>
      <c r="C44" s="767">
        <v>163</v>
      </c>
      <c r="D44" s="767">
        <f>-I42</f>
        <v>0</v>
      </c>
      <c r="E44" s="766">
        <v>6.8</v>
      </c>
    </row>
    <row r="45" spans="1:5" ht="20.100000000000001" customHeight="1" x14ac:dyDescent="0.25">
      <c r="A45" s="769" t="s">
        <v>1114</v>
      </c>
      <c r="B45" s="767">
        <v>415.35</v>
      </c>
      <c r="C45" s="767">
        <v>502.5</v>
      </c>
      <c r="D45" s="767">
        <v>5.67</v>
      </c>
      <c r="E45" s="766">
        <v>7.2</v>
      </c>
    </row>
    <row r="46" spans="1:5" ht="20.100000000000001" customHeight="1" x14ac:dyDescent="0.25">
      <c r="A46" s="769" t="s">
        <v>1113</v>
      </c>
      <c r="B46" s="767">
        <v>396.9</v>
      </c>
      <c r="C46" s="767">
        <v>513</v>
      </c>
      <c r="D46" s="767">
        <v>2.4300000000000002</v>
      </c>
      <c r="E46" s="766">
        <v>2.7</v>
      </c>
    </row>
    <row r="47" spans="1:5" ht="20.100000000000001" customHeight="1" x14ac:dyDescent="0.25">
      <c r="A47" s="769" t="s">
        <v>1112</v>
      </c>
      <c r="B47" s="767">
        <v>198</v>
      </c>
      <c r="C47" s="767">
        <v>376</v>
      </c>
      <c r="D47" s="767">
        <v>3.87</v>
      </c>
      <c r="E47" s="766">
        <v>4.3</v>
      </c>
    </row>
    <row r="48" spans="1:5" ht="20.100000000000001" customHeight="1" x14ac:dyDescent="0.25">
      <c r="A48" s="769" t="s">
        <v>1111</v>
      </c>
      <c r="B48" s="768">
        <v>234.9</v>
      </c>
      <c r="C48" s="768">
        <v>261</v>
      </c>
      <c r="D48" s="767">
        <v>2.34</v>
      </c>
      <c r="E48" s="781">
        <v>2.6</v>
      </c>
    </row>
    <row r="49" spans="1:6" ht="20.100000000000001" customHeight="1" x14ac:dyDescent="0.25">
      <c r="A49" s="769" t="s">
        <v>1110</v>
      </c>
      <c r="B49" s="767">
        <v>220.5</v>
      </c>
      <c r="C49" s="767">
        <v>368</v>
      </c>
      <c r="D49" s="767">
        <f>ROUND(E49*0.9,2)</f>
        <v>9.27</v>
      </c>
      <c r="E49" s="766">
        <v>10.3</v>
      </c>
    </row>
    <row r="50" spans="1:6" ht="20.100000000000001" customHeight="1" x14ac:dyDescent="0.25">
      <c r="A50" s="769" t="s">
        <v>1109</v>
      </c>
      <c r="B50" s="767">
        <v>220.5</v>
      </c>
      <c r="C50" s="767">
        <v>368</v>
      </c>
      <c r="D50" s="767">
        <f>ROUND(E50*0.9,2)</f>
        <v>9.27</v>
      </c>
      <c r="E50" s="766">
        <v>10.3</v>
      </c>
    </row>
    <row r="51" spans="1:6" ht="20.100000000000001" customHeight="1" x14ac:dyDescent="0.25">
      <c r="A51" s="769" t="s">
        <v>1108</v>
      </c>
      <c r="B51" s="767">
        <v>373.5</v>
      </c>
      <c r="C51" s="767">
        <v>415</v>
      </c>
      <c r="D51" s="767">
        <f>ROUND(E51*0.9,2)</f>
        <v>2.7</v>
      </c>
      <c r="E51" s="766">
        <v>3</v>
      </c>
    </row>
    <row r="52" spans="1:6" ht="20.100000000000001" customHeight="1" x14ac:dyDescent="0.25">
      <c r="A52" s="769" t="s">
        <v>1107</v>
      </c>
      <c r="B52" s="767">
        <v>396.9</v>
      </c>
      <c r="C52" s="767">
        <v>513</v>
      </c>
      <c r="D52" s="767">
        <v>2.61</v>
      </c>
      <c r="E52" s="766">
        <v>2.9</v>
      </c>
    </row>
    <row r="53" spans="1:6" ht="20.100000000000001" customHeight="1" x14ac:dyDescent="0.25">
      <c r="A53" s="769" t="s">
        <v>1106</v>
      </c>
      <c r="B53" s="767">
        <v>619.11</v>
      </c>
      <c r="C53" s="767">
        <v>769.2</v>
      </c>
      <c r="D53" s="767">
        <v>3.33</v>
      </c>
      <c r="E53" s="766">
        <v>3.7</v>
      </c>
    </row>
    <row r="54" spans="1:6" ht="20.100000000000001" customHeight="1" x14ac:dyDescent="0.25">
      <c r="A54" s="769" t="s">
        <v>1105</v>
      </c>
      <c r="B54" s="767">
        <v>619.11</v>
      </c>
      <c r="C54" s="767">
        <v>769.2</v>
      </c>
      <c r="D54" s="767">
        <v>3.06</v>
      </c>
      <c r="E54" s="766">
        <v>3.4</v>
      </c>
    </row>
    <row r="55" spans="1:6" ht="20.100000000000001" customHeight="1" x14ac:dyDescent="0.25">
      <c r="A55" s="769" t="s">
        <v>1104</v>
      </c>
      <c r="B55" s="767">
        <v>235.8</v>
      </c>
      <c r="C55" s="767">
        <v>300</v>
      </c>
      <c r="D55" s="767">
        <f>ROUND(E55*0.9,2)</f>
        <v>0</v>
      </c>
      <c r="E55" s="766">
        <v>0</v>
      </c>
    </row>
    <row r="56" spans="1:6" ht="20.100000000000001" customHeight="1" x14ac:dyDescent="0.25">
      <c r="A56" s="769" t="s">
        <v>1103</v>
      </c>
      <c r="B56" s="767">
        <v>583.4</v>
      </c>
      <c r="C56" s="767">
        <v>648.4</v>
      </c>
      <c r="D56" s="767">
        <v>5.13</v>
      </c>
      <c r="E56" s="766">
        <v>5.7</v>
      </c>
    </row>
    <row r="57" spans="1:6" ht="20.100000000000001" customHeight="1" x14ac:dyDescent="0.25">
      <c r="A57" s="769" t="s">
        <v>1102</v>
      </c>
      <c r="B57" s="767">
        <v>373.5</v>
      </c>
      <c r="C57" s="767">
        <v>415</v>
      </c>
      <c r="D57" s="767">
        <v>4.1399999999999997</v>
      </c>
      <c r="E57" s="766">
        <v>4.7</v>
      </c>
    </row>
    <row r="58" spans="1:6" ht="20.100000000000001" customHeight="1" x14ac:dyDescent="0.25">
      <c r="A58" s="769" t="s">
        <v>1101</v>
      </c>
      <c r="B58" s="767">
        <f>C58*0.9</f>
        <v>219.6</v>
      </c>
      <c r="C58" s="767">
        <v>244</v>
      </c>
      <c r="D58" s="767">
        <v>2.7</v>
      </c>
      <c r="E58" s="766">
        <v>3</v>
      </c>
    </row>
    <row r="59" spans="1:6" ht="20.100000000000001" customHeight="1" x14ac:dyDescent="0.25">
      <c r="A59" s="769" t="s">
        <v>1100</v>
      </c>
      <c r="B59" s="767">
        <v>318.42</v>
      </c>
      <c r="C59" s="767">
        <v>646.1</v>
      </c>
      <c r="D59" s="767">
        <v>2.7</v>
      </c>
      <c r="E59" s="766">
        <v>3.2</v>
      </c>
    </row>
    <row r="60" spans="1:6" ht="20.100000000000001" customHeight="1" x14ac:dyDescent="0.25">
      <c r="A60" s="769" t="s">
        <v>1099</v>
      </c>
      <c r="B60" s="767">
        <v>424.53</v>
      </c>
      <c r="C60" s="767">
        <v>471.7</v>
      </c>
      <c r="D60" s="767">
        <v>0.99</v>
      </c>
      <c r="E60" s="766">
        <v>1.9</v>
      </c>
    </row>
    <row r="61" spans="1:6" ht="20.100000000000001" customHeight="1" x14ac:dyDescent="0.25">
      <c r="A61" s="769" t="s">
        <v>1098</v>
      </c>
      <c r="B61" s="767">
        <v>536.04</v>
      </c>
      <c r="C61" s="767">
        <v>687.1</v>
      </c>
      <c r="D61" s="767">
        <v>3.51</v>
      </c>
      <c r="E61" s="766">
        <v>3.9</v>
      </c>
    </row>
    <row r="62" spans="1:6" ht="20.100000000000001" customHeight="1" x14ac:dyDescent="0.25">
      <c r="A62" s="769" t="s">
        <v>1097</v>
      </c>
      <c r="B62" s="767">
        <v>378</v>
      </c>
      <c r="C62" s="767">
        <v>520</v>
      </c>
      <c r="D62" s="767">
        <v>6.12</v>
      </c>
      <c r="E62" s="766">
        <v>6.8</v>
      </c>
      <c r="F62" s="759"/>
    </row>
    <row r="63" spans="1:6" ht="20.100000000000001" customHeight="1" x14ac:dyDescent="0.25">
      <c r="A63" s="769" t="s">
        <v>1096</v>
      </c>
      <c r="B63" s="767">
        <v>263.7</v>
      </c>
      <c r="C63" s="767">
        <v>630</v>
      </c>
      <c r="D63" s="767">
        <v>1.44</v>
      </c>
      <c r="E63" s="766">
        <v>1.9</v>
      </c>
    </row>
    <row r="64" spans="1:6" ht="20.100000000000001" customHeight="1" x14ac:dyDescent="0.25">
      <c r="A64" s="769" t="s">
        <v>1095</v>
      </c>
      <c r="B64" s="767">
        <v>369.43</v>
      </c>
      <c r="C64" s="767">
        <v>410.48</v>
      </c>
      <c r="D64" s="767">
        <v>2.79</v>
      </c>
      <c r="E64" s="766">
        <v>3.1</v>
      </c>
    </row>
    <row r="65" spans="1:5" ht="20.100000000000001" customHeight="1" x14ac:dyDescent="0.25">
      <c r="A65" s="769" t="s">
        <v>1094</v>
      </c>
      <c r="B65" s="767">
        <v>220.5</v>
      </c>
      <c r="C65" s="767">
        <v>368</v>
      </c>
      <c r="D65" s="767">
        <f>ROUND(E65*0.9,2)</f>
        <v>9.27</v>
      </c>
      <c r="E65" s="766">
        <v>10.3</v>
      </c>
    </row>
    <row r="66" spans="1:5" ht="20.100000000000001" customHeight="1" x14ac:dyDescent="0.25">
      <c r="A66" s="769" t="s">
        <v>1093</v>
      </c>
      <c r="B66" s="767">
        <f>C66*0.9</f>
        <v>219.6</v>
      </c>
      <c r="C66" s="767">
        <v>244</v>
      </c>
      <c r="D66" s="767">
        <v>2.7</v>
      </c>
      <c r="E66" s="766">
        <v>3</v>
      </c>
    </row>
    <row r="67" spans="1:5" ht="20.100000000000001" customHeight="1" x14ac:dyDescent="0.25">
      <c r="A67" s="769" t="s">
        <v>1092</v>
      </c>
      <c r="B67" s="767">
        <v>415.35</v>
      </c>
      <c r="C67" s="767">
        <v>461.5</v>
      </c>
      <c r="D67" s="767">
        <v>4.7699999999999996</v>
      </c>
      <c r="E67" s="766">
        <v>5.3</v>
      </c>
    </row>
    <row r="68" spans="1:5" ht="20.100000000000001" customHeight="1" x14ac:dyDescent="0.25">
      <c r="A68" s="769" t="s">
        <v>1091</v>
      </c>
      <c r="B68" s="767">
        <v>572.58000000000004</v>
      </c>
      <c r="C68" s="767">
        <v>830</v>
      </c>
      <c r="D68" s="767">
        <v>1.71</v>
      </c>
      <c r="E68" s="766">
        <v>3.5</v>
      </c>
    </row>
    <row r="69" spans="1:5" ht="20.100000000000001" customHeight="1" x14ac:dyDescent="0.25">
      <c r="A69" s="769" t="s">
        <v>1090</v>
      </c>
      <c r="B69" s="767">
        <v>293.5</v>
      </c>
      <c r="C69" s="767">
        <v>512.79</v>
      </c>
      <c r="D69" s="768" t="s">
        <v>535</v>
      </c>
      <c r="E69" s="766">
        <v>1.9</v>
      </c>
    </row>
    <row r="70" spans="1:5" ht="20.100000000000001" customHeight="1" x14ac:dyDescent="0.25">
      <c r="A70" s="769" t="s">
        <v>1089</v>
      </c>
      <c r="B70" s="767">
        <v>619.11</v>
      </c>
      <c r="C70" s="767">
        <v>769.2</v>
      </c>
      <c r="D70" s="767">
        <v>3.06</v>
      </c>
      <c r="E70" s="766">
        <v>3.4</v>
      </c>
    </row>
    <row r="71" spans="1:5" ht="20.100000000000001" customHeight="1" x14ac:dyDescent="0.25">
      <c r="A71" s="769" t="s">
        <v>1088</v>
      </c>
      <c r="B71" s="767">
        <v>346.14</v>
      </c>
      <c r="C71" s="767">
        <v>687.1</v>
      </c>
      <c r="D71" s="767">
        <v>5.49</v>
      </c>
      <c r="E71" s="766">
        <v>6.1</v>
      </c>
    </row>
    <row r="72" spans="1:5" ht="20.100000000000001" customHeight="1" x14ac:dyDescent="0.25">
      <c r="A72" s="769" t="s">
        <v>1087</v>
      </c>
      <c r="B72" s="767">
        <v>396.9</v>
      </c>
      <c r="C72" s="767">
        <v>513</v>
      </c>
      <c r="D72" s="767">
        <v>2.4300000000000002</v>
      </c>
      <c r="E72" s="766">
        <v>2.7</v>
      </c>
    </row>
    <row r="73" spans="1:5" ht="20.100000000000001" customHeight="1" x14ac:dyDescent="0.25">
      <c r="A73" s="769" t="s">
        <v>1086</v>
      </c>
      <c r="B73" s="767">
        <v>272.29000000000002</v>
      </c>
      <c r="C73" s="767">
        <v>400</v>
      </c>
      <c r="D73" s="767">
        <v>1.89</v>
      </c>
      <c r="E73" s="766">
        <v>4.7</v>
      </c>
    </row>
    <row r="74" spans="1:5" ht="20.100000000000001" customHeight="1" x14ac:dyDescent="0.25">
      <c r="A74" s="769" t="s">
        <v>1085</v>
      </c>
      <c r="B74" s="767">
        <v>261</v>
      </c>
      <c r="C74" s="767">
        <v>650</v>
      </c>
      <c r="D74" s="767">
        <v>2.34</v>
      </c>
      <c r="E74" s="766">
        <v>2.6</v>
      </c>
    </row>
    <row r="75" spans="1:5" ht="20.100000000000001" customHeight="1" x14ac:dyDescent="0.25">
      <c r="A75" s="769" t="s">
        <v>370</v>
      </c>
      <c r="B75" s="767">
        <v>195.3</v>
      </c>
      <c r="C75" s="767">
        <v>474</v>
      </c>
      <c r="D75" s="767">
        <v>2.97</v>
      </c>
      <c r="E75" s="766">
        <v>3.3</v>
      </c>
    </row>
    <row r="76" spans="1:5" ht="20.100000000000001" customHeight="1" x14ac:dyDescent="0.25">
      <c r="A76" s="769" t="s">
        <v>1084</v>
      </c>
      <c r="B76" s="767">
        <f>B60</f>
        <v>424.53</v>
      </c>
      <c r="C76" s="767">
        <f>C60</f>
        <v>471.7</v>
      </c>
      <c r="D76" s="767">
        <v>0.99</v>
      </c>
      <c r="E76" s="766">
        <v>1.9</v>
      </c>
    </row>
    <row r="77" spans="1:5" ht="20.100000000000001" customHeight="1" thickBot="1" x14ac:dyDescent="0.3">
      <c r="A77" s="769" t="s">
        <v>1083</v>
      </c>
      <c r="B77" s="768">
        <f>$B$48</f>
        <v>234.9</v>
      </c>
      <c r="C77" s="768">
        <v>261</v>
      </c>
      <c r="D77" s="767">
        <v>2.34</v>
      </c>
      <c r="E77" s="766">
        <v>2.6</v>
      </c>
    </row>
    <row r="78" spans="1:5" ht="20.100000000000001" customHeight="1" x14ac:dyDescent="0.25">
      <c r="A78" s="780" t="s">
        <v>1082</v>
      </c>
      <c r="B78" s="779" t="s">
        <v>1081</v>
      </c>
      <c r="C78" s="778"/>
      <c r="D78" s="778"/>
      <c r="E78" s="777"/>
    </row>
    <row r="79" spans="1:5" ht="27" customHeight="1" thickBot="1" x14ac:dyDescent="0.3">
      <c r="A79" s="776"/>
      <c r="B79" s="775" t="s">
        <v>1022</v>
      </c>
      <c r="C79" s="775" t="s">
        <v>1080</v>
      </c>
      <c r="D79" s="774" t="s">
        <v>1079</v>
      </c>
      <c r="E79" s="773" t="s">
        <v>1078</v>
      </c>
    </row>
    <row r="80" spans="1:5" ht="20.100000000000001" customHeight="1" x14ac:dyDescent="0.25">
      <c r="A80" s="772" t="s">
        <v>1077</v>
      </c>
      <c r="B80" s="771"/>
      <c r="C80" s="771"/>
      <c r="D80" s="771"/>
      <c r="E80" s="770"/>
    </row>
    <row r="81" spans="1:5" ht="20.100000000000001" customHeight="1" x14ac:dyDescent="0.25">
      <c r="A81" s="769" t="s">
        <v>1076</v>
      </c>
      <c r="B81" s="767">
        <v>220.5</v>
      </c>
      <c r="C81" s="767">
        <v>368</v>
      </c>
      <c r="D81" s="767">
        <v>2.7</v>
      </c>
      <c r="E81" s="766">
        <v>3</v>
      </c>
    </row>
    <row r="82" spans="1:5" ht="20.100000000000001" customHeight="1" x14ac:dyDescent="0.25">
      <c r="A82" s="769" t="s">
        <v>1075</v>
      </c>
      <c r="B82" s="767">
        <f>B71</f>
        <v>346.14</v>
      </c>
      <c r="C82" s="767">
        <f>C71</f>
        <v>687.1</v>
      </c>
      <c r="D82" s="767">
        <v>5.49</v>
      </c>
      <c r="E82" s="766">
        <v>6.1</v>
      </c>
    </row>
    <row r="83" spans="1:5" ht="20.100000000000001" customHeight="1" x14ac:dyDescent="0.25">
      <c r="A83" s="769" t="s">
        <v>1074</v>
      </c>
      <c r="B83" s="767">
        <v>350.73</v>
      </c>
      <c r="C83" s="767">
        <v>389.7</v>
      </c>
      <c r="D83" s="767">
        <v>4.8600000000000003</v>
      </c>
      <c r="E83" s="766">
        <v>7</v>
      </c>
    </row>
    <row r="84" spans="1:5" ht="20.100000000000001" customHeight="1" x14ac:dyDescent="0.25">
      <c r="A84" s="769" t="s">
        <v>1073</v>
      </c>
      <c r="B84" s="767">
        <v>581.30999999999995</v>
      </c>
      <c r="C84" s="767">
        <v>772</v>
      </c>
      <c r="D84" s="767">
        <v>2.0699999999999998</v>
      </c>
      <c r="E84" s="766">
        <v>2.2999999999999998</v>
      </c>
    </row>
    <row r="85" spans="1:5" ht="20.100000000000001" customHeight="1" x14ac:dyDescent="0.25">
      <c r="A85" s="769" t="s">
        <v>1072</v>
      </c>
      <c r="B85" s="767">
        <f>B73</f>
        <v>272.29000000000002</v>
      </c>
      <c r="C85" s="767">
        <f>C73</f>
        <v>400</v>
      </c>
      <c r="D85" s="767">
        <v>1.89</v>
      </c>
      <c r="E85" s="766">
        <v>4.7</v>
      </c>
    </row>
    <row r="86" spans="1:5" ht="20.100000000000001" customHeight="1" x14ac:dyDescent="0.25">
      <c r="A86" s="769" t="s">
        <v>1071</v>
      </c>
      <c r="B86" s="767">
        <v>220.5</v>
      </c>
      <c r="C86" s="767">
        <v>368</v>
      </c>
      <c r="D86" s="767">
        <f>ROUND(E86*0.9,2)</f>
        <v>9.27</v>
      </c>
      <c r="E86" s="766">
        <v>10.3</v>
      </c>
    </row>
    <row r="87" spans="1:5" ht="20.100000000000001" customHeight="1" x14ac:dyDescent="0.25">
      <c r="A87" s="769" t="s">
        <v>1070</v>
      </c>
      <c r="B87" s="767">
        <v>423</v>
      </c>
      <c r="C87" s="767">
        <v>470</v>
      </c>
      <c r="D87" s="767">
        <f>ROUND(E87*0.9,2)</f>
        <v>1.08</v>
      </c>
      <c r="E87" s="766">
        <v>1.2</v>
      </c>
    </row>
    <row r="88" spans="1:5" ht="20.100000000000001" customHeight="1" x14ac:dyDescent="0.25">
      <c r="A88" s="769" t="s">
        <v>1069</v>
      </c>
      <c r="B88" s="767">
        <f>B62</f>
        <v>378</v>
      </c>
      <c r="C88" s="767">
        <f>C62</f>
        <v>520</v>
      </c>
      <c r="D88" s="767">
        <v>6.12</v>
      </c>
      <c r="E88" s="766">
        <v>6.8</v>
      </c>
    </row>
    <row r="89" spans="1:5" ht="20.100000000000001" customHeight="1" x14ac:dyDescent="0.25">
      <c r="A89" s="769" t="s">
        <v>1068</v>
      </c>
      <c r="B89" s="767">
        <v>220.5</v>
      </c>
      <c r="C89" s="767">
        <v>368</v>
      </c>
      <c r="D89" s="767">
        <v>16.2</v>
      </c>
      <c r="E89" s="766">
        <v>47.6</v>
      </c>
    </row>
    <row r="90" spans="1:5" ht="20.100000000000001" customHeight="1" x14ac:dyDescent="0.25">
      <c r="A90" s="769" t="s">
        <v>1067</v>
      </c>
      <c r="B90" s="767">
        <v>293.5</v>
      </c>
      <c r="C90" s="767">
        <v>512.79</v>
      </c>
      <c r="D90" s="768" t="s">
        <v>535</v>
      </c>
      <c r="E90" s="766">
        <v>1.9</v>
      </c>
    </row>
    <row r="91" spans="1:5" ht="20.100000000000001" customHeight="1" x14ac:dyDescent="0.25">
      <c r="A91" s="769" t="s">
        <v>1066</v>
      </c>
      <c r="B91" s="767">
        <v>210.6</v>
      </c>
      <c r="C91" s="767">
        <v>470</v>
      </c>
      <c r="D91" s="767">
        <v>5.13</v>
      </c>
      <c r="E91" s="766">
        <v>5.7</v>
      </c>
    </row>
    <row r="92" spans="1:5" ht="20.100000000000001" customHeight="1" x14ac:dyDescent="0.25">
      <c r="A92" s="769" t="s">
        <v>1065</v>
      </c>
      <c r="B92" s="767">
        <f>B71</f>
        <v>346.14</v>
      </c>
      <c r="C92" s="767">
        <f>C71</f>
        <v>687.1</v>
      </c>
      <c r="D92" s="767">
        <v>5.49</v>
      </c>
      <c r="E92" s="766">
        <v>6.1</v>
      </c>
    </row>
    <row r="93" spans="1:5" ht="20.100000000000001" customHeight="1" x14ac:dyDescent="0.25">
      <c r="A93" s="769" t="s">
        <v>1064</v>
      </c>
      <c r="B93" s="767">
        <v>213.21</v>
      </c>
      <c r="C93" s="767">
        <v>236.9</v>
      </c>
      <c r="D93" s="767">
        <v>5.4</v>
      </c>
      <c r="E93" s="766">
        <v>6.9</v>
      </c>
    </row>
    <row r="94" spans="1:5" ht="20.100000000000001" customHeight="1" x14ac:dyDescent="0.25">
      <c r="A94" s="769" t="s">
        <v>1063</v>
      </c>
      <c r="B94" s="767">
        <v>373.5</v>
      </c>
      <c r="C94" s="767">
        <v>415</v>
      </c>
      <c r="D94" s="767">
        <f>ROUND(E94*0.9,2)</f>
        <v>2.7</v>
      </c>
      <c r="E94" s="766">
        <v>3</v>
      </c>
    </row>
    <row r="95" spans="1:5" ht="20.100000000000001" customHeight="1" x14ac:dyDescent="0.25">
      <c r="A95" s="769" t="s">
        <v>1062</v>
      </c>
      <c r="B95" s="767">
        <f>B45</f>
        <v>415.35</v>
      </c>
      <c r="C95" s="767">
        <f>C45</f>
        <v>502.5</v>
      </c>
      <c r="D95" s="767">
        <v>5.67</v>
      </c>
      <c r="E95" s="766">
        <v>7.2</v>
      </c>
    </row>
    <row r="96" spans="1:5" ht="20.100000000000001" customHeight="1" x14ac:dyDescent="0.25">
      <c r="A96" s="769" t="s">
        <v>1061</v>
      </c>
      <c r="B96" s="767">
        <v>591.03</v>
      </c>
      <c r="C96" s="767">
        <v>805</v>
      </c>
      <c r="D96" s="767">
        <v>2.25</v>
      </c>
      <c r="E96" s="766">
        <v>2.7</v>
      </c>
    </row>
    <row r="97" spans="1:5" ht="20.100000000000001" customHeight="1" x14ac:dyDescent="0.25">
      <c r="A97" s="769" t="s">
        <v>1060</v>
      </c>
      <c r="B97" s="767">
        <v>220.5</v>
      </c>
      <c r="C97" s="767">
        <v>368</v>
      </c>
      <c r="D97" s="767">
        <f>ROUND(E97*0.9,2)</f>
        <v>2.7</v>
      </c>
      <c r="E97" s="766">
        <v>3</v>
      </c>
    </row>
    <row r="98" spans="1:5" ht="20.100000000000001" customHeight="1" x14ac:dyDescent="0.25">
      <c r="A98" s="769" t="s">
        <v>1059</v>
      </c>
      <c r="B98" s="767">
        <f>B57</f>
        <v>373.5</v>
      </c>
      <c r="C98" s="767">
        <f>C57</f>
        <v>415</v>
      </c>
      <c r="D98" s="767">
        <v>4.1399999999999997</v>
      </c>
      <c r="E98" s="766">
        <v>4.7</v>
      </c>
    </row>
    <row r="99" spans="1:5" ht="20.100000000000001" customHeight="1" x14ac:dyDescent="0.25">
      <c r="A99" s="769" t="s">
        <v>1058</v>
      </c>
      <c r="B99" s="767">
        <v>255.6</v>
      </c>
      <c r="C99" s="767">
        <v>284</v>
      </c>
      <c r="D99" s="767">
        <v>2.34</v>
      </c>
      <c r="E99" s="766">
        <v>2.6</v>
      </c>
    </row>
    <row r="100" spans="1:5" ht="20.100000000000001" customHeight="1" x14ac:dyDescent="0.25">
      <c r="A100" s="769" t="s">
        <v>1057</v>
      </c>
      <c r="B100" s="767">
        <v>360.2</v>
      </c>
      <c r="C100" s="767">
        <v>400.22</v>
      </c>
      <c r="D100" s="767">
        <v>2.79</v>
      </c>
      <c r="E100" s="766">
        <v>3.1</v>
      </c>
    </row>
    <row r="101" spans="1:5" ht="20.100000000000001" customHeight="1" x14ac:dyDescent="0.25">
      <c r="A101" s="769" t="s">
        <v>1056</v>
      </c>
      <c r="B101" s="767">
        <f>B67</f>
        <v>415.35</v>
      </c>
      <c r="C101" s="767">
        <f>C67</f>
        <v>461.5</v>
      </c>
      <c r="D101" s="767">
        <v>4.7699999999999996</v>
      </c>
      <c r="E101" s="766">
        <v>5.3</v>
      </c>
    </row>
    <row r="102" spans="1:5" ht="20.100000000000001" customHeight="1" x14ac:dyDescent="0.25">
      <c r="A102" s="769" t="s">
        <v>1055</v>
      </c>
      <c r="B102" s="767">
        <v>590.4</v>
      </c>
      <c r="C102" s="767">
        <v>656</v>
      </c>
      <c r="D102" s="767">
        <v>3.33</v>
      </c>
      <c r="E102" s="766">
        <v>3.7</v>
      </c>
    </row>
    <row r="103" spans="1:5" ht="20.100000000000001" customHeight="1" x14ac:dyDescent="0.25">
      <c r="A103" s="769" t="s">
        <v>1054</v>
      </c>
      <c r="B103" s="767">
        <v>280.79000000000002</v>
      </c>
      <c r="C103" s="767">
        <v>431.06</v>
      </c>
      <c r="D103" s="767">
        <v>3.96</v>
      </c>
      <c r="E103" s="766">
        <v>4.4000000000000004</v>
      </c>
    </row>
    <row r="104" spans="1:5" ht="20.100000000000001" customHeight="1" x14ac:dyDescent="0.25">
      <c r="A104" s="769" t="s">
        <v>1053</v>
      </c>
      <c r="B104" s="767">
        <v>219.6</v>
      </c>
      <c r="C104" s="767">
        <v>244</v>
      </c>
      <c r="D104" s="767">
        <v>2.7</v>
      </c>
      <c r="E104" s="766">
        <v>3</v>
      </c>
    </row>
    <row r="105" spans="1:5" ht="20.100000000000001" customHeight="1" x14ac:dyDescent="0.25">
      <c r="A105" s="769" t="s">
        <v>1052</v>
      </c>
      <c r="B105" s="767">
        <v>244.8</v>
      </c>
      <c r="C105" s="767">
        <v>272</v>
      </c>
      <c r="D105" s="767">
        <v>5.76</v>
      </c>
      <c r="E105" s="766">
        <v>8.5</v>
      </c>
    </row>
    <row r="106" spans="1:5" ht="20.100000000000001" customHeight="1" x14ac:dyDescent="0.25">
      <c r="A106" s="769" t="s">
        <v>1051</v>
      </c>
      <c r="B106" s="767">
        <v>415.8</v>
      </c>
      <c r="C106" s="767">
        <v>502</v>
      </c>
      <c r="D106" s="767">
        <v>2.52</v>
      </c>
      <c r="E106" s="766">
        <v>5.7</v>
      </c>
    </row>
    <row r="107" spans="1:5" ht="20.100000000000001" customHeight="1" x14ac:dyDescent="0.25">
      <c r="A107" s="769" t="s">
        <v>1050</v>
      </c>
      <c r="B107" s="767">
        <f>B105</f>
        <v>244.8</v>
      </c>
      <c r="C107" s="767">
        <f>C105</f>
        <v>272</v>
      </c>
      <c r="D107" s="767">
        <v>5.76</v>
      </c>
      <c r="E107" s="766">
        <v>8.5</v>
      </c>
    </row>
    <row r="108" spans="1:5" ht="20.100000000000001" customHeight="1" x14ac:dyDescent="0.25">
      <c r="A108" s="769" t="s">
        <v>1049</v>
      </c>
      <c r="B108" s="767">
        <v>244.8</v>
      </c>
      <c r="C108" s="767">
        <v>272</v>
      </c>
      <c r="D108" s="767">
        <v>6.48</v>
      </c>
      <c r="E108" s="766">
        <v>7.2</v>
      </c>
    </row>
    <row r="109" spans="1:5" ht="20.100000000000001" customHeight="1" x14ac:dyDescent="0.25">
      <c r="A109" s="769" t="s">
        <v>1048</v>
      </c>
      <c r="B109" s="767">
        <v>355.32</v>
      </c>
      <c r="C109" s="767">
        <v>394.8</v>
      </c>
      <c r="D109" s="767">
        <v>2.34</v>
      </c>
      <c r="E109" s="766">
        <v>2.6</v>
      </c>
    </row>
    <row r="110" spans="1:5" ht="20.100000000000001" customHeight="1" x14ac:dyDescent="0.25">
      <c r="A110" s="769" t="s">
        <v>1047</v>
      </c>
      <c r="B110" s="767">
        <v>67.5</v>
      </c>
      <c r="C110" s="767">
        <v>75</v>
      </c>
      <c r="D110" s="767">
        <v>5.13</v>
      </c>
      <c r="E110" s="766">
        <v>5.7</v>
      </c>
    </row>
    <row r="111" spans="1:5" ht="20.100000000000001" customHeight="1" x14ac:dyDescent="0.25">
      <c r="A111" s="769" t="s">
        <v>1046</v>
      </c>
      <c r="B111" s="768">
        <f>$B$48</f>
        <v>234.9</v>
      </c>
      <c r="C111" s="767">
        <v>261</v>
      </c>
      <c r="D111" s="767">
        <v>2.34</v>
      </c>
      <c r="E111" s="766">
        <v>2.6</v>
      </c>
    </row>
    <row r="112" spans="1:5" ht="20.100000000000001" customHeight="1" x14ac:dyDescent="0.25">
      <c r="A112" s="769" t="s">
        <v>1045</v>
      </c>
      <c r="B112" s="768">
        <v>396.9</v>
      </c>
      <c r="C112" s="767">
        <v>513</v>
      </c>
      <c r="D112" s="767">
        <v>2.61</v>
      </c>
      <c r="E112" s="766">
        <v>2.9</v>
      </c>
    </row>
    <row r="113" spans="1:5" ht="20.100000000000001" customHeight="1" x14ac:dyDescent="0.25">
      <c r="A113" s="769" t="s">
        <v>1044</v>
      </c>
      <c r="B113" s="768">
        <f>$B$48</f>
        <v>234.9</v>
      </c>
      <c r="C113" s="767">
        <v>261</v>
      </c>
      <c r="D113" s="767">
        <v>2.34</v>
      </c>
      <c r="E113" s="766">
        <v>2.6</v>
      </c>
    </row>
    <row r="114" spans="1:5" ht="20.100000000000001" customHeight="1" x14ac:dyDescent="0.25">
      <c r="A114" s="769" t="s">
        <v>1043</v>
      </c>
      <c r="B114" s="767">
        <v>603</v>
      </c>
      <c r="C114" s="767">
        <v>670</v>
      </c>
      <c r="D114" s="767">
        <v>3.33</v>
      </c>
      <c r="E114" s="766">
        <v>3.7</v>
      </c>
    </row>
    <row r="115" spans="1:5" ht="20.100000000000001" customHeight="1" x14ac:dyDescent="0.25">
      <c r="A115" s="769" t="s">
        <v>1042</v>
      </c>
      <c r="B115" s="768">
        <f>$B$48</f>
        <v>234.9</v>
      </c>
      <c r="C115" s="767">
        <v>261</v>
      </c>
      <c r="D115" s="767">
        <v>2.34</v>
      </c>
      <c r="E115" s="766">
        <v>2.6</v>
      </c>
    </row>
    <row r="116" spans="1:5" ht="20.100000000000001" customHeight="1" thickBot="1" x14ac:dyDescent="0.3">
      <c r="A116" s="765" t="s">
        <v>1041</v>
      </c>
      <c r="B116" s="764">
        <v>452.25</v>
      </c>
      <c r="C116" s="764">
        <v>502.5</v>
      </c>
      <c r="D116" s="764">
        <v>5.13</v>
      </c>
      <c r="E116" s="763">
        <v>5.7</v>
      </c>
    </row>
    <row r="117" spans="1:5" x14ac:dyDescent="0.25">
      <c r="A117" s="762" t="s">
        <v>1040</v>
      </c>
      <c r="B117" s="761"/>
      <c r="C117" s="761"/>
      <c r="D117" s="760"/>
      <c r="E117" s="760"/>
    </row>
    <row r="118" spans="1:5" x14ac:dyDescent="0.25">
      <c r="A118" s="762" t="s">
        <v>1039</v>
      </c>
      <c r="B118" s="761"/>
      <c r="C118" s="761"/>
      <c r="D118" s="760"/>
      <c r="E118" s="760"/>
    </row>
    <row r="119" spans="1:5" x14ac:dyDescent="0.25">
      <c r="A119" s="762" t="s">
        <v>1038</v>
      </c>
      <c r="B119" s="761"/>
      <c r="C119" s="761"/>
      <c r="D119" s="760"/>
      <c r="E119" s="760"/>
    </row>
    <row r="120" spans="1:5" x14ac:dyDescent="0.25">
      <c r="A120" s="762" t="s">
        <v>1037</v>
      </c>
      <c r="B120" s="761"/>
      <c r="C120" s="761"/>
      <c r="D120" s="760"/>
      <c r="E120" s="760"/>
    </row>
    <row r="121" spans="1:5" x14ac:dyDescent="0.25">
      <c r="A121" s="762" t="s">
        <v>1036</v>
      </c>
      <c r="B121" s="761"/>
      <c r="C121" s="761"/>
      <c r="D121" s="760"/>
      <c r="E121" s="760"/>
    </row>
    <row r="122" spans="1:5" x14ac:dyDescent="0.25">
      <c r="A122" s="762" t="s">
        <v>1035</v>
      </c>
      <c r="B122" s="761"/>
      <c r="C122" s="761"/>
      <c r="D122" s="760"/>
      <c r="E122" s="760"/>
    </row>
    <row r="123" spans="1:5" x14ac:dyDescent="0.25">
      <c r="A123" s="762" t="s">
        <v>1034</v>
      </c>
      <c r="B123" s="761"/>
      <c r="C123" s="761"/>
      <c r="D123" s="760"/>
      <c r="E123" s="760"/>
    </row>
    <row r="124" spans="1:5" x14ac:dyDescent="0.25">
      <c r="A124" s="427" t="s">
        <v>1033</v>
      </c>
    </row>
  </sheetData>
  <mergeCells count="10">
    <mergeCell ref="A78:A79"/>
    <mergeCell ref="B78:E78"/>
    <mergeCell ref="A80:E80"/>
    <mergeCell ref="A1:F1"/>
    <mergeCell ref="A40:E40"/>
    <mergeCell ref="A2:C2"/>
    <mergeCell ref="A4:A5"/>
    <mergeCell ref="B4:C4"/>
    <mergeCell ref="A38:A39"/>
    <mergeCell ref="B38:E38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workbookViewId="0">
      <selection activeCell="A4" sqref="A4:B5"/>
    </sheetView>
  </sheetViews>
  <sheetFormatPr defaultColWidth="9.140625" defaultRowHeight="15" x14ac:dyDescent="0.25"/>
  <cols>
    <col min="1" max="1" width="57.7109375" style="207" bestFit="1" customWidth="1"/>
    <col min="2" max="2" width="25" style="207" bestFit="1" customWidth="1"/>
    <col min="3" max="16384" width="9.140625" style="207"/>
  </cols>
  <sheetData>
    <row r="1" spans="1:2" x14ac:dyDescent="0.25">
      <c r="A1" s="697" t="s">
        <v>784</v>
      </c>
      <c r="B1" s="697"/>
    </row>
    <row r="2" spans="1:2" x14ac:dyDescent="0.25">
      <c r="A2" s="697"/>
      <c r="B2" s="697"/>
    </row>
    <row r="3" spans="1:2" x14ac:dyDescent="0.25">
      <c r="A3" s="697"/>
      <c r="B3" s="697"/>
    </row>
    <row r="4" spans="1:2" ht="15" customHeight="1" x14ac:dyDescent="0.25">
      <c r="A4" s="698" t="s">
        <v>936</v>
      </c>
      <c r="B4" s="698"/>
    </row>
    <row r="5" spans="1:2" x14ac:dyDescent="0.25">
      <c r="A5" s="698"/>
      <c r="B5" s="698"/>
    </row>
    <row r="6" spans="1:2" x14ac:dyDescent="0.25">
      <c r="A6" s="483"/>
      <c r="B6" s="453"/>
    </row>
    <row r="7" spans="1:2" x14ac:dyDescent="0.25">
      <c r="A7" s="483"/>
      <c r="B7" s="453"/>
    </row>
    <row r="8" spans="1:2" x14ac:dyDescent="0.25">
      <c r="A8" s="288" t="s">
        <v>772</v>
      </c>
      <c r="B8" s="482"/>
    </row>
    <row r="9" spans="1:2" x14ac:dyDescent="0.25">
      <c r="A9" s="205"/>
      <c r="B9" s="482"/>
    </row>
    <row r="10" spans="1:2" x14ac:dyDescent="0.25">
      <c r="A10" s="696" t="s">
        <v>771</v>
      </c>
    </row>
    <row r="11" spans="1:2" x14ac:dyDescent="0.25">
      <c r="A11" s="696"/>
    </row>
    <row r="12" spans="1:2" x14ac:dyDescent="0.25">
      <c r="A12" s="696"/>
    </row>
    <row r="13" spans="1:2" x14ac:dyDescent="0.25">
      <c r="A13" s="696"/>
    </row>
    <row r="14" spans="1:2" x14ac:dyDescent="0.25">
      <c r="A14" s="696"/>
    </row>
    <row r="16" spans="1:2" x14ac:dyDescent="0.25">
      <c r="A16" s="430" t="s">
        <v>766</v>
      </c>
    </row>
    <row r="17" spans="1:1" x14ac:dyDescent="0.25">
      <c r="A17" s="493" t="s">
        <v>769</v>
      </c>
    </row>
    <row r="18" spans="1:1" x14ac:dyDescent="0.25">
      <c r="A18" s="493" t="s">
        <v>767</v>
      </c>
    </row>
    <row r="19" spans="1:1" x14ac:dyDescent="0.25">
      <c r="A19" s="493" t="s">
        <v>768</v>
      </c>
    </row>
    <row r="20" spans="1:1" x14ac:dyDescent="0.25">
      <c r="A20" s="494" t="s">
        <v>770</v>
      </c>
    </row>
  </sheetData>
  <mergeCells count="3">
    <mergeCell ref="A10:A14"/>
    <mergeCell ref="A1:B3"/>
    <mergeCell ref="A4:B5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workbookViewId="0">
      <selection activeCell="Q11" sqref="Q11"/>
    </sheetView>
  </sheetViews>
  <sheetFormatPr defaultColWidth="9.140625" defaultRowHeight="15" x14ac:dyDescent="0.25"/>
  <cols>
    <col min="1" max="1" width="55.28515625" style="207" bestFit="1" customWidth="1"/>
    <col min="2" max="2" width="26.7109375" style="453" customWidth="1"/>
    <col min="3" max="3" width="18.140625" style="207" customWidth="1"/>
    <col min="4" max="16384" width="9.140625" style="207"/>
  </cols>
  <sheetData>
    <row r="1" spans="1:3" ht="34.5" customHeight="1" x14ac:dyDescent="0.25">
      <c r="A1" s="615" t="s">
        <v>786</v>
      </c>
      <c r="B1" s="615"/>
      <c r="C1" s="548"/>
    </row>
    <row r="2" spans="1:3" x14ac:dyDescent="0.25">
      <c r="A2" s="630" t="s">
        <v>933</v>
      </c>
      <c r="B2" s="630"/>
    </row>
    <row r="3" spans="1:3" x14ac:dyDescent="0.25">
      <c r="A3" s="630"/>
      <c r="B3" s="630"/>
    </row>
    <row r="4" spans="1:3" x14ac:dyDescent="0.25">
      <c r="A4" s="638"/>
      <c r="B4" s="638"/>
    </row>
    <row r="6" spans="1:3" x14ac:dyDescent="0.25">
      <c r="A6" s="288" t="s">
        <v>377</v>
      </c>
    </row>
    <row r="7" spans="1:3" x14ac:dyDescent="0.25">
      <c r="A7" s="171"/>
    </row>
    <row r="9" spans="1:3" x14ac:dyDescent="0.25">
      <c r="A9" s="485" t="s">
        <v>924</v>
      </c>
      <c r="B9" s="482">
        <v>13000</v>
      </c>
    </row>
    <row r="10" spans="1:3" x14ac:dyDescent="0.25">
      <c r="A10" s="486" t="s">
        <v>925</v>
      </c>
      <c r="B10" s="487">
        <v>9500</v>
      </c>
    </row>
    <row r="11" spans="1:3" x14ac:dyDescent="0.25">
      <c r="A11" s="488" t="s">
        <v>122</v>
      </c>
      <c r="B11" s="489">
        <f>B9+B10</f>
        <v>22500</v>
      </c>
    </row>
    <row r="12" spans="1:3" x14ac:dyDescent="0.25">
      <c r="A12" s="490" t="s">
        <v>111</v>
      </c>
      <c r="B12" s="487">
        <f>B11*0.2</f>
        <v>4500</v>
      </c>
    </row>
    <row r="13" spans="1:3" x14ac:dyDescent="0.25">
      <c r="A13" s="488" t="s">
        <v>86</v>
      </c>
      <c r="B13" s="482">
        <f>B11+B12</f>
        <v>27000</v>
      </c>
    </row>
    <row r="14" spans="1:3" x14ac:dyDescent="0.25">
      <c r="A14" s="485" t="s">
        <v>106</v>
      </c>
      <c r="B14" s="491">
        <f>ROUND(B13*0.27,0)</f>
        <v>7290</v>
      </c>
    </row>
    <row r="15" spans="1:3" ht="35.25" customHeight="1" x14ac:dyDescent="0.25">
      <c r="A15" s="65" t="s">
        <v>107</v>
      </c>
      <c r="B15" s="484">
        <f>B13+B14</f>
        <v>34290</v>
      </c>
    </row>
  </sheetData>
  <mergeCells count="3">
    <mergeCell ref="A2:B3"/>
    <mergeCell ref="A4:B4"/>
    <mergeCell ref="A1:B1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8" sqref="B18"/>
    </sheetView>
  </sheetViews>
  <sheetFormatPr defaultColWidth="9.140625" defaultRowHeight="15" x14ac:dyDescent="0.25"/>
  <cols>
    <col min="1" max="1" width="71.5703125" style="502" customWidth="1"/>
    <col min="2" max="2" width="39.42578125" style="583" customWidth="1"/>
    <col min="3" max="3" width="18.140625" style="502" customWidth="1"/>
    <col min="4" max="16384" width="9.140625" style="502"/>
  </cols>
  <sheetData>
    <row r="1" spans="1:3" ht="34.5" customHeight="1" x14ac:dyDescent="0.25">
      <c r="A1" s="699" t="s">
        <v>943</v>
      </c>
      <c r="B1" s="699"/>
      <c r="C1" s="581"/>
    </row>
    <row r="2" spans="1:3" x14ac:dyDescent="0.25">
      <c r="A2" s="630" t="s">
        <v>944</v>
      </c>
      <c r="B2" s="630"/>
    </row>
    <row r="3" spans="1:3" x14ac:dyDescent="0.25">
      <c r="A3" s="630"/>
      <c r="B3" s="630"/>
    </row>
    <row r="4" spans="1:3" ht="99" customHeight="1" x14ac:dyDescent="0.25">
      <c r="A4" s="700" t="s">
        <v>945</v>
      </c>
      <c r="B4" s="700"/>
    </row>
    <row r="6" spans="1:3" x14ac:dyDescent="0.25">
      <c r="A6" s="582" t="s">
        <v>946</v>
      </c>
    </row>
    <row r="7" spans="1:3" ht="45" x14ac:dyDescent="0.25">
      <c r="A7" s="584" t="s">
        <v>947</v>
      </c>
      <c r="B7" s="585" t="s">
        <v>948</v>
      </c>
    </row>
    <row r="8" spans="1:3" ht="45" x14ac:dyDescent="0.25">
      <c r="A8" s="585" t="s">
        <v>949</v>
      </c>
      <c r="B8" s="585" t="s">
        <v>948</v>
      </c>
    </row>
    <row r="9" spans="1:3" ht="30" x14ac:dyDescent="0.25">
      <c r="A9" s="584" t="s">
        <v>950</v>
      </c>
      <c r="B9" s="586">
        <v>750</v>
      </c>
    </row>
    <row r="16" spans="1:3" x14ac:dyDescent="0.25">
      <c r="A16" s="502" t="s">
        <v>144</v>
      </c>
    </row>
  </sheetData>
  <mergeCells count="3">
    <mergeCell ref="A1:B1"/>
    <mergeCell ref="A2:B3"/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1"/>
  <sheetViews>
    <sheetView showGridLines="0" zoomScaleNormal="100" zoomScaleSheetLayoutView="100" workbookViewId="0">
      <selection activeCell="H20" sqref="H20"/>
    </sheetView>
  </sheetViews>
  <sheetFormatPr defaultColWidth="9.140625" defaultRowHeight="15" x14ac:dyDescent="0.25"/>
  <cols>
    <col min="1" max="1" width="46.140625" style="17" customWidth="1"/>
    <col min="2" max="2" width="12.42578125" style="17" customWidth="1"/>
    <col min="3" max="4" width="11.7109375" style="17" customWidth="1"/>
    <col min="5" max="16384" width="9.140625" style="17"/>
  </cols>
  <sheetData>
    <row r="1" spans="1:6" ht="47.25" customHeight="1" x14ac:dyDescent="0.25">
      <c r="A1" s="615" t="s">
        <v>424</v>
      </c>
      <c r="B1" s="615"/>
      <c r="C1" s="615"/>
      <c r="D1" s="615"/>
      <c r="E1" s="341"/>
      <c r="F1" s="341"/>
    </row>
    <row r="2" spans="1:6" ht="99" customHeight="1" x14ac:dyDescent="0.25">
      <c r="A2" s="614" t="s">
        <v>774</v>
      </c>
      <c r="B2" s="614"/>
      <c r="C2" s="614"/>
      <c r="D2" s="614"/>
      <c r="E2" s="18"/>
    </row>
    <row r="3" spans="1:6" ht="60" customHeight="1" x14ac:dyDescent="0.25">
      <c r="A3" s="345" t="s">
        <v>84</v>
      </c>
      <c r="B3" s="455" t="s">
        <v>727</v>
      </c>
      <c r="C3" s="346" t="s">
        <v>85</v>
      </c>
      <c r="D3" s="346" t="s">
        <v>86</v>
      </c>
    </row>
    <row r="4" spans="1:6" x14ac:dyDescent="0.25">
      <c r="A4" s="348" t="s">
        <v>729</v>
      </c>
      <c r="B4" s="264">
        <v>3361</v>
      </c>
      <c r="C4" s="265">
        <f>ROUND(B4*0.19,0)</f>
        <v>639</v>
      </c>
      <c r="D4" s="265">
        <f>B4+C4</f>
        <v>4000</v>
      </c>
      <c r="E4" s="529"/>
    </row>
    <row r="5" spans="1:6" x14ac:dyDescent="0.25">
      <c r="A5" s="348" t="s">
        <v>728</v>
      </c>
      <c r="B5" s="264">
        <v>10924</v>
      </c>
      <c r="C5" s="264">
        <f>ROUND(B5*0.19,0)</f>
        <v>2076</v>
      </c>
      <c r="D5" s="264">
        <f t="shared" ref="D5" si="0">B5+C5</f>
        <v>13000</v>
      </c>
    </row>
    <row r="6" spans="1:6" s="288" customFormat="1" x14ac:dyDescent="0.25">
      <c r="A6" s="17"/>
      <c r="B6" s="17"/>
      <c r="C6" s="17"/>
      <c r="D6" s="17"/>
    </row>
    <row r="11" spans="1:6" x14ac:dyDescent="0.25">
      <c r="C11" s="347"/>
    </row>
  </sheetData>
  <mergeCells count="2">
    <mergeCell ref="A2:D2"/>
    <mergeCell ref="A1:D1"/>
  </mergeCells>
  <printOptions horizont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P17"/>
  <sheetViews>
    <sheetView topLeftCell="A10" zoomScaleNormal="100" zoomScaleSheetLayoutView="100" workbookViewId="0">
      <selection activeCell="K2" sqref="K2:M2"/>
    </sheetView>
  </sheetViews>
  <sheetFormatPr defaultRowHeight="15" x14ac:dyDescent="0.25"/>
  <cols>
    <col min="1" max="1" width="51.140625" customWidth="1"/>
    <col min="2" max="2" width="11.5703125" style="272" hidden="1" customWidth="1"/>
    <col min="3" max="3" width="11.85546875" style="210" hidden="1" customWidth="1"/>
    <col min="4" max="4" width="13" style="210" hidden="1" customWidth="1"/>
    <col min="5" max="5" width="11.42578125" style="393" hidden="1" customWidth="1"/>
    <col min="6" max="6" width="10.42578125" style="171" hidden="1" customWidth="1"/>
    <col min="7" max="7" width="11.5703125" hidden="1" customWidth="1"/>
    <col min="8" max="8" width="12.28515625" style="272" hidden="1" customWidth="1"/>
    <col min="9" max="9" width="11" style="210" hidden="1" customWidth="1"/>
    <col min="10" max="10" width="11.5703125" style="210" hidden="1" customWidth="1"/>
    <col min="11" max="13" width="11.140625" customWidth="1"/>
  </cols>
  <sheetData>
    <row r="1" spans="1:14" x14ac:dyDescent="0.25">
      <c r="A1" s="556" t="s">
        <v>444</v>
      </c>
    </row>
    <row r="2" spans="1:14" ht="45" customHeight="1" thickBot="1" x14ac:dyDescent="0.3">
      <c r="A2" s="555" t="s">
        <v>87</v>
      </c>
      <c r="B2" s="620" t="s">
        <v>370</v>
      </c>
      <c r="C2" s="620"/>
      <c r="D2" s="620"/>
      <c r="E2" s="619" t="s">
        <v>664</v>
      </c>
      <c r="F2" s="619"/>
      <c r="G2" s="619"/>
      <c r="H2" s="620" t="s">
        <v>665</v>
      </c>
      <c r="I2" s="620"/>
      <c r="J2" s="620"/>
      <c r="K2" s="619"/>
      <c r="L2" s="619"/>
      <c r="M2" s="619"/>
    </row>
    <row r="3" spans="1:14" ht="42.75" x14ac:dyDescent="0.25">
      <c r="A3" s="394" t="s">
        <v>88</v>
      </c>
      <c r="B3" s="402" t="s">
        <v>89</v>
      </c>
      <c r="C3" s="398" t="s">
        <v>636</v>
      </c>
      <c r="D3" s="399" t="s">
        <v>90</v>
      </c>
      <c r="E3" s="402" t="s">
        <v>89</v>
      </c>
      <c r="F3" s="398" t="s">
        <v>636</v>
      </c>
      <c r="G3" s="399" t="s">
        <v>90</v>
      </c>
      <c r="H3" s="402" t="s">
        <v>89</v>
      </c>
      <c r="I3" s="398" t="s">
        <v>636</v>
      </c>
      <c r="J3" s="399" t="s">
        <v>90</v>
      </c>
      <c r="K3" s="397" t="s">
        <v>89</v>
      </c>
      <c r="L3" s="398" t="s">
        <v>636</v>
      </c>
      <c r="M3" s="399" t="s">
        <v>90</v>
      </c>
    </row>
    <row r="4" spans="1:14" ht="50.1" customHeight="1" x14ac:dyDescent="0.25">
      <c r="A4" s="395" t="s">
        <v>91</v>
      </c>
      <c r="B4" s="403">
        <v>2</v>
      </c>
      <c r="C4" s="21">
        <v>0.5</v>
      </c>
      <c r="D4" s="401">
        <f>B4*C4</f>
        <v>1</v>
      </c>
      <c r="E4" s="403">
        <v>2</v>
      </c>
      <c r="F4" s="21">
        <v>1</v>
      </c>
      <c r="G4" s="401">
        <f>E4*F4</f>
        <v>2</v>
      </c>
      <c r="H4" s="403">
        <v>2</v>
      </c>
      <c r="I4" s="21">
        <v>0.25</v>
      </c>
      <c r="J4" s="401">
        <f>H4*I4</f>
        <v>0.5</v>
      </c>
      <c r="K4" s="400">
        <v>2</v>
      </c>
      <c r="L4" s="21">
        <v>0.5</v>
      </c>
      <c r="M4" s="401">
        <f>K4*L4</f>
        <v>1</v>
      </c>
    </row>
    <row r="5" spans="1:14" ht="39.950000000000003" customHeight="1" x14ac:dyDescent="0.25">
      <c r="A5" s="395" t="s">
        <v>92</v>
      </c>
      <c r="B5" s="403">
        <v>2</v>
      </c>
      <c r="C5" s="21">
        <v>0.75</v>
      </c>
      <c r="D5" s="401">
        <f t="shared" ref="D5:D16" si="0">B5*C5</f>
        <v>1.5</v>
      </c>
      <c r="E5" s="403">
        <v>2</v>
      </c>
      <c r="F5" s="21">
        <v>1</v>
      </c>
      <c r="G5" s="401">
        <f t="shared" ref="G5:G16" si="1">E5*F5</f>
        <v>2</v>
      </c>
      <c r="H5" s="403">
        <v>1</v>
      </c>
      <c r="I5" s="21">
        <v>0.25</v>
      </c>
      <c r="J5" s="401">
        <f t="shared" ref="J5:J16" si="2">H5*I5</f>
        <v>0.25</v>
      </c>
      <c r="K5" s="400">
        <v>2</v>
      </c>
      <c r="L5" s="21">
        <v>0.5</v>
      </c>
      <c r="M5" s="401">
        <f t="shared" ref="M5:M17" si="3">K5*L5</f>
        <v>1</v>
      </c>
    </row>
    <row r="6" spans="1:14" ht="39.950000000000003" customHeight="1" x14ac:dyDescent="0.25">
      <c r="A6" s="395" t="s">
        <v>93</v>
      </c>
      <c r="B6" s="403">
        <v>3</v>
      </c>
      <c r="C6" s="21">
        <v>4</v>
      </c>
      <c r="D6" s="401">
        <f t="shared" si="0"/>
        <v>12</v>
      </c>
      <c r="E6" s="403">
        <v>2</v>
      </c>
      <c r="F6" s="21">
        <v>3</v>
      </c>
      <c r="G6" s="401">
        <f t="shared" si="1"/>
        <v>6</v>
      </c>
      <c r="H6" s="403">
        <v>2</v>
      </c>
      <c r="I6" s="21">
        <v>2.75</v>
      </c>
      <c r="J6" s="401">
        <f t="shared" si="2"/>
        <v>5.5</v>
      </c>
      <c r="K6" s="400">
        <v>2</v>
      </c>
      <c r="L6" s="21">
        <v>3</v>
      </c>
      <c r="M6" s="401">
        <f t="shared" si="3"/>
        <v>6</v>
      </c>
    </row>
    <row r="7" spans="1:14" s="272" customFormat="1" ht="39.950000000000003" customHeight="1" x14ac:dyDescent="0.25">
      <c r="A7" s="396" t="s">
        <v>558</v>
      </c>
      <c r="B7" s="403">
        <v>3</v>
      </c>
      <c r="C7" s="21">
        <v>3.5</v>
      </c>
      <c r="D7" s="401">
        <f t="shared" si="0"/>
        <v>10.5</v>
      </c>
      <c r="E7" s="403">
        <v>2</v>
      </c>
      <c r="F7" s="21">
        <v>2.5</v>
      </c>
      <c r="G7" s="401">
        <f t="shared" si="1"/>
        <v>5</v>
      </c>
      <c r="H7" s="403">
        <v>2</v>
      </c>
      <c r="I7" s="21">
        <v>2.5</v>
      </c>
      <c r="J7" s="401">
        <f t="shared" si="2"/>
        <v>5</v>
      </c>
      <c r="K7" s="400">
        <v>2</v>
      </c>
      <c r="L7" s="21">
        <v>2.5</v>
      </c>
      <c r="M7" s="401">
        <f t="shared" si="3"/>
        <v>5</v>
      </c>
    </row>
    <row r="8" spans="1:14" ht="50.1" customHeight="1" x14ac:dyDescent="0.25">
      <c r="A8" s="395" t="s">
        <v>94</v>
      </c>
      <c r="B8" s="403">
        <v>2</v>
      </c>
      <c r="C8" s="21">
        <v>0.75</v>
      </c>
      <c r="D8" s="401">
        <f t="shared" si="0"/>
        <v>1.5</v>
      </c>
      <c r="E8" s="616" t="s">
        <v>667</v>
      </c>
      <c r="F8" s="617"/>
      <c r="G8" s="618"/>
      <c r="H8" s="403">
        <v>2</v>
      </c>
      <c r="I8" s="21">
        <v>0.5</v>
      </c>
      <c r="J8" s="401">
        <f t="shared" si="2"/>
        <v>1</v>
      </c>
      <c r="K8" s="400">
        <v>2</v>
      </c>
      <c r="L8" s="21">
        <v>0.5</v>
      </c>
      <c r="M8" s="401">
        <f t="shared" si="3"/>
        <v>1</v>
      </c>
    </row>
    <row r="9" spans="1:14" ht="50.1" customHeight="1" x14ac:dyDescent="0.25">
      <c r="A9" s="395" t="s">
        <v>95</v>
      </c>
      <c r="B9" s="403">
        <v>2</v>
      </c>
      <c r="C9" s="21">
        <v>2.5</v>
      </c>
      <c r="D9" s="401">
        <f t="shared" si="0"/>
        <v>5</v>
      </c>
      <c r="E9" s="403">
        <v>2</v>
      </c>
      <c r="F9" s="21">
        <v>2</v>
      </c>
      <c r="G9" s="401">
        <f t="shared" si="1"/>
        <v>4</v>
      </c>
      <c r="H9" s="616" t="s">
        <v>668</v>
      </c>
      <c r="I9" s="617"/>
      <c r="J9" s="618"/>
      <c r="K9" s="400">
        <v>2</v>
      </c>
      <c r="L9" s="21">
        <v>2</v>
      </c>
      <c r="M9" s="401">
        <f t="shared" si="3"/>
        <v>4</v>
      </c>
    </row>
    <row r="10" spans="1:14" ht="50.1" customHeight="1" x14ac:dyDescent="0.25">
      <c r="A10" s="395" t="s">
        <v>96</v>
      </c>
      <c r="B10" s="403">
        <v>2</v>
      </c>
      <c r="C10" s="21">
        <v>1.25</v>
      </c>
      <c r="D10" s="401">
        <f t="shared" si="0"/>
        <v>2.5</v>
      </c>
      <c r="E10" s="403">
        <v>2</v>
      </c>
      <c r="F10" s="21">
        <v>1.75</v>
      </c>
      <c r="G10" s="401">
        <f t="shared" si="1"/>
        <v>3.5</v>
      </c>
      <c r="H10" s="403">
        <v>2</v>
      </c>
      <c r="I10" s="21">
        <v>1</v>
      </c>
      <c r="J10" s="401">
        <f t="shared" si="2"/>
        <v>2</v>
      </c>
      <c r="K10" s="400">
        <v>2</v>
      </c>
      <c r="L10" s="21">
        <v>1.5</v>
      </c>
      <c r="M10" s="401">
        <f t="shared" si="3"/>
        <v>3</v>
      </c>
    </row>
    <row r="11" spans="1:14" ht="50.1" customHeight="1" x14ac:dyDescent="0.25">
      <c r="A11" s="395" t="s">
        <v>97</v>
      </c>
      <c r="B11" s="403">
        <v>2</v>
      </c>
      <c r="C11" s="21">
        <v>1.25</v>
      </c>
      <c r="D11" s="401">
        <f t="shared" si="0"/>
        <v>2.5</v>
      </c>
      <c r="E11" s="403">
        <v>2</v>
      </c>
      <c r="F11" s="21">
        <v>1.5</v>
      </c>
      <c r="G11" s="401">
        <f t="shared" si="1"/>
        <v>3</v>
      </c>
      <c r="H11" s="403">
        <v>2</v>
      </c>
      <c r="I11" s="21">
        <v>0.5</v>
      </c>
      <c r="J11" s="401">
        <f t="shared" si="2"/>
        <v>1</v>
      </c>
      <c r="K11" s="400">
        <v>2</v>
      </c>
      <c r="L11" s="21">
        <v>1.25</v>
      </c>
      <c r="M11" s="401">
        <f t="shared" si="3"/>
        <v>2.5</v>
      </c>
    </row>
    <row r="12" spans="1:14" ht="67.5" customHeight="1" x14ac:dyDescent="0.25">
      <c r="A12" s="395" t="s">
        <v>98</v>
      </c>
      <c r="B12" s="403">
        <v>2</v>
      </c>
      <c r="C12" s="21">
        <v>2</v>
      </c>
      <c r="D12" s="401">
        <f t="shared" si="0"/>
        <v>4</v>
      </c>
      <c r="E12" s="403">
        <v>2</v>
      </c>
      <c r="F12" s="21">
        <v>1.5</v>
      </c>
      <c r="G12" s="401">
        <f t="shared" si="1"/>
        <v>3</v>
      </c>
      <c r="H12" s="403">
        <v>2</v>
      </c>
      <c r="I12" s="21">
        <v>0.85</v>
      </c>
      <c r="J12" s="401">
        <f>H12*I12</f>
        <v>1.7</v>
      </c>
      <c r="K12" s="400">
        <v>2</v>
      </c>
      <c r="L12" s="21">
        <v>1.5</v>
      </c>
      <c r="M12" s="401">
        <f t="shared" si="3"/>
        <v>3</v>
      </c>
    </row>
    <row r="13" spans="1:14" ht="50.1" customHeight="1" x14ac:dyDescent="0.25">
      <c r="A13" s="395" t="s">
        <v>99</v>
      </c>
      <c r="B13" s="403">
        <v>2</v>
      </c>
      <c r="C13" s="21">
        <v>1.5</v>
      </c>
      <c r="D13" s="401">
        <f t="shared" si="0"/>
        <v>3</v>
      </c>
      <c r="E13" s="403">
        <v>2</v>
      </c>
      <c r="F13" s="21">
        <v>2</v>
      </c>
      <c r="G13" s="401">
        <f t="shared" si="1"/>
        <v>4</v>
      </c>
      <c r="H13" s="403">
        <v>2</v>
      </c>
      <c r="I13" s="21">
        <v>1</v>
      </c>
      <c r="J13" s="401">
        <f t="shared" si="2"/>
        <v>2</v>
      </c>
      <c r="K13" s="400">
        <v>2</v>
      </c>
      <c r="L13" s="21">
        <v>1.5</v>
      </c>
      <c r="M13" s="401">
        <f t="shared" si="3"/>
        <v>3</v>
      </c>
    </row>
    <row r="14" spans="1:14" ht="67.5" customHeight="1" x14ac:dyDescent="0.25">
      <c r="A14" s="395" t="s">
        <v>934</v>
      </c>
      <c r="B14" s="403">
        <v>2</v>
      </c>
      <c r="C14" s="21">
        <v>1.5</v>
      </c>
      <c r="D14" s="401">
        <f t="shared" si="0"/>
        <v>3</v>
      </c>
      <c r="E14" s="403">
        <v>2</v>
      </c>
      <c r="F14" s="21">
        <v>1.5</v>
      </c>
      <c r="G14" s="401">
        <f t="shared" si="1"/>
        <v>3</v>
      </c>
      <c r="H14" s="403">
        <v>2</v>
      </c>
      <c r="I14" s="21">
        <v>1</v>
      </c>
      <c r="J14" s="401">
        <f t="shared" si="2"/>
        <v>2</v>
      </c>
      <c r="K14" s="400">
        <v>2</v>
      </c>
      <c r="L14" s="21">
        <v>1.5</v>
      </c>
      <c r="M14" s="401">
        <f t="shared" si="3"/>
        <v>3</v>
      </c>
    </row>
    <row r="15" spans="1:14" ht="50.1" customHeight="1" x14ac:dyDescent="0.25">
      <c r="A15" s="395" t="s">
        <v>100</v>
      </c>
      <c r="B15" s="403">
        <v>4</v>
      </c>
      <c r="C15" s="21">
        <v>5</v>
      </c>
      <c r="D15" s="401">
        <f t="shared" si="0"/>
        <v>20</v>
      </c>
      <c r="E15" s="407">
        <v>5</v>
      </c>
      <c r="F15" s="392">
        <v>4</v>
      </c>
      <c r="G15" s="408">
        <f t="shared" si="1"/>
        <v>20</v>
      </c>
      <c r="H15" s="403">
        <v>3</v>
      </c>
      <c r="I15" s="21">
        <v>4</v>
      </c>
      <c r="J15" s="401">
        <f t="shared" si="2"/>
        <v>12</v>
      </c>
      <c r="K15" s="400">
        <v>3</v>
      </c>
      <c r="L15" s="21">
        <v>4</v>
      </c>
      <c r="M15" s="401">
        <f t="shared" si="3"/>
        <v>12</v>
      </c>
      <c r="N15" s="207"/>
    </row>
    <row r="16" spans="1:14" ht="50.1" customHeight="1" x14ac:dyDescent="0.25">
      <c r="A16" s="395" t="s">
        <v>101</v>
      </c>
      <c r="B16" s="403">
        <v>2</v>
      </c>
      <c r="C16" s="21">
        <v>1.5</v>
      </c>
      <c r="D16" s="401">
        <f t="shared" si="0"/>
        <v>3</v>
      </c>
      <c r="E16" s="403">
        <v>2</v>
      </c>
      <c r="F16" s="21">
        <v>1.5</v>
      </c>
      <c r="G16" s="401">
        <f t="shared" si="1"/>
        <v>3</v>
      </c>
      <c r="H16" s="403">
        <v>2</v>
      </c>
      <c r="I16" s="21">
        <v>1</v>
      </c>
      <c r="J16" s="401">
        <f t="shared" si="2"/>
        <v>2</v>
      </c>
      <c r="K16" s="400">
        <v>2</v>
      </c>
      <c r="L16" s="21">
        <v>1.5</v>
      </c>
      <c r="M16" s="401">
        <f t="shared" si="3"/>
        <v>3</v>
      </c>
    </row>
    <row r="17" spans="1:16" ht="30.75" thickBot="1" x14ac:dyDescent="0.3">
      <c r="A17" s="396" t="s">
        <v>666</v>
      </c>
      <c r="B17" s="404"/>
      <c r="C17" s="405"/>
      <c r="D17" s="406"/>
      <c r="E17" s="404">
        <v>2</v>
      </c>
      <c r="F17" s="405">
        <v>2.5</v>
      </c>
      <c r="G17" s="406">
        <v>5</v>
      </c>
      <c r="H17" s="409"/>
      <c r="I17" s="410"/>
      <c r="J17" s="411"/>
      <c r="K17" s="412">
        <v>2</v>
      </c>
      <c r="L17" s="413">
        <v>2.5</v>
      </c>
      <c r="M17" s="414">
        <f t="shared" si="3"/>
        <v>5</v>
      </c>
      <c r="P17" s="272"/>
    </row>
  </sheetData>
  <mergeCells count="6">
    <mergeCell ref="E8:G8"/>
    <mergeCell ref="H9:J9"/>
    <mergeCell ref="K2:M2"/>
    <mergeCell ref="B2:D2"/>
    <mergeCell ref="E2:G2"/>
    <mergeCell ref="H2:J2"/>
  </mergeCells>
  <pageMargins left="0.25" right="0.25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L25"/>
  <sheetViews>
    <sheetView showGridLines="0" zoomScaleNormal="100" zoomScaleSheetLayoutView="100" workbookViewId="0">
      <selection activeCell="G18" sqref="G18"/>
    </sheetView>
  </sheetViews>
  <sheetFormatPr defaultColWidth="9.140625" defaultRowHeight="15" x14ac:dyDescent="0.25"/>
  <cols>
    <col min="1" max="1" width="62.7109375" style="20" customWidth="1"/>
    <col min="2" max="2" width="5.42578125" style="20" customWidth="1"/>
    <col min="3" max="3" width="11.85546875" style="20" bestFit="1" customWidth="1"/>
    <col min="4" max="16384" width="9.140625" style="20"/>
  </cols>
  <sheetData>
    <row r="1" spans="1:12" ht="47.25" customHeight="1" x14ac:dyDescent="0.25">
      <c r="A1" s="621" t="s">
        <v>425</v>
      </c>
      <c r="B1" s="621"/>
      <c r="C1" s="621"/>
      <c r="D1" s="19"/>
    </row>
    <row r="2" spans="1:12" ht="42.75" customHeight="1" x14ac:dyDescent="0.25">
      <c r="A2" s="623" t="s">
        <v>102</v>
      </c>
      <c r="B2" s="623"/>
      <c r="C2" s="623"/>
      <c r="D2" s="87"/>
    </row>
    <row r="3" spans="1:12" x14ac:dyDescent="0.25">
      <c r="A3" s="23"/>
      <c r="B3" s="23"/>
      <c r="C3" s="23"/>
      <c r="D3" s="23"/>
    </row>
    <row r="4" spans="1:12" x14ac:dyDescent="0.25">
      <c r="A4" s="24" t="s">
        <v>103</v>
      </c>
      <c r="B4" s="25"/>
      <c r="C4" s="25"/>
    </row>
    <row r="5" spans="1:12" x14ac:dyDescent="0.25">
      <c r="A5" s="24"/>
      <c r="B5" s="25"/>
      <c r="C5" s="25"/>
    </row>
    <row r="6" spans="1:12" ht="50.25" customHeight="1" x14ac:dyDescent="0.25">
      <c r="A6" s="622" t="s">
        <v>104</v>
      </c>
      <c r="B6" s="622"/>
      <c r="C6" s="622"/>
      <c r="D6" s="41"/>
    </row>
    <row r="7" spans="1:12" x14ac:dyDescent="0.25">
      <c r="A7" s="25"/>
      <c r="B7" s="26"/>
      <c r="C7" s="26"/>
    </row>
    <row r="8" spans="1:12" x14ac:dyDescent="0.25">
      <c r="A8" s="27"/>
      <c r="B8" s="26"/>
      <c r="C8" s="26"/>
    </row>
    <row r="9" spans="1:12" x14ac:dyDescent="0.25">
      <c r="A9" s="25"/>
      <c r="B9" s="26"/>
      <c r="C9" s="26"/>
    </row>
    <row r="10" spans="1:12" x14ac:dyDescent="0.25">
      <c r="A10" s="25" t="s">
        <v>697</v>
      </c>
      <c r="B10" s="26"/>
      <c r="C10" s="33">
        <f>ROUND(('3. rezsióradíj mérnökóradíj'!D4*0.5*1)+(200*15),0)</f>
        <v>5000</v>
      </c>
    </row>
    <row r="11" spans="1:12" x14ac:dyDescent="0.25">
      <c r="A11" s="28" t="s">
        <v>105</v>
      </c>
      <c r="B11" s="29"/>
      <c r="C11" s="138">
        <f>ROUND(C10*0.2,0)</f>
        <v>1000</v>
      </c>
    </row>
    <row r="12" spans="1:12" x14ac:dyDescent="0.25">
      <c r="A12" s="30" t="s">
        <v>86</v>
      </c>
      <c r="B12" s="26"/>
      <c r="C12" s="54">
        <f>SUM(C10:C11)</f>
        <v>6000</v>
      </c>
    </row>
    <row r="13" spans="1:12" x14ac:dyDescent="0.25">
      <c r="A13" s="25" t="s">
        <v>106</v>
      </c>
      <c r="B13" s="26"/>
      <c r="C13" s="26">
        <f>ROUND(C12*0.27,0)</f>
        <v>1620</v>
      </c>
    </row>
    <row r="14" spans="1:12" ht="36" customHeight="1" x14ac:dyDescent="0.25">
      <c r="A14" s="31" t="s">
        <v>107</v>
      </c>
      <c r="B14" s="32"/>
      <c r="C14" s="568">
        <f>SUM(C12:C13)</f>
        <v>7620</v>
      </c>
      <c r="L14" s="461"/>
    </row>
    <row r="15" spans="1:12" x14ac:dyDescent="0.25">
      <c r="A15" s="25"/>
      <c r="B15" s="25"/>
      <c r="C15" s="25"/>
    </row>
    <row r="16" spans="1:12" x14ac:dyDescent="0.25">
      <c r="H16" s="33"/>
    </row>
    <row r="22" spans="1:4" x14ac:dyDescent="0.25">
      <c r="A22" s="25"/>
      <c r="B22" s="25"/>
      <c r="C22" s="25"/>
      <c r="D22" s="25"/>
    </row>
    <row r="23" spans="1:4" ht="36" customHeight="1" x14ac:dyDescent="0.25">
      <c r="A23" s="25"/>
      <c r="B23" s="25"/>
      <c r="C23" s="25"/>
      <c r="D23" s="25"/>
    </row>
    <row r="24" spans="1:4" x14ac:dyDescent="0.25">
      <c r="A24" s="25"/>
      <c r="B24" s="25"/>
      <c r="C24" s="25"/>
      <c r="D24" s="25"/>
    </row>
    <row r="25" spans="1:4" x14ac:dyDescent="0.25">
      <c r="A25" s="25"/>
      <c r="B25" s="25"/>
      <c r="C25" s="25"/>
      <c r="D25" s="25"/>
    </row>
  </sheetData>
  <mergeCells count="3">
    <mergeCell ref="A1:C1"/>
    <mergeCell ref="A6:C6"/>
    <mergeCell ref="A2:C2"/>
  </mergeCells>
  <pageMargins left="1.1200000000000001" right="0.67" top="0.52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C14"/>
  <sheetViews>
    <sheetView showGridLines="0" zoomScaleNormal="100" zoomScaleSheetLayoutView="100" workbookViewId="0">
      <selection activeCell="A25" sqref="A25"/>
    </sheetView>
  </sheetViews>
  <sheetFormatPr defaultColWidth="9.140625" defaultRowHeight="15" x14ac:dyDescent="0.25"/>
  <cols>
    <col min="1" max="1" width="66.140625" style="25" customWidth="1"/>
    <col min="2" max="2" width="18.42578125" style="25" customWidth="1"/>
    <col min="3" max="16384" width="9.140625" style="25"/>
  </cols>
  <sheetData>
    <row r="1" spans="1:3" ht="51" customHeight="1" x14ac:dyDescent="0.25">
      <c r="A1" s="624" t="s">
        <v>426</v>
      </c>
      <c r="B1" s="624"/>
    </row>
    <row r="2" spans="1:3" ht="60.75" customHeight="1" x14ac:dyDescent="0.25">
      <c r="A2" s="626" t="s">
        <v>108</v>
      </c>
      <c r="B2" s="626"/>
    </row>
    <row r="3" spans="1:3" ht="17.100000000000001" customHeight="1" x14ac:dyDescent="0.25"/>
    <row r="4" spans="1:3" ht="17.100000000000001" customHeight="1" x14ac:dyDescent="0.25">
      <c r="A4" s="24" t="s">
        <v>103</v>
      </c>
    </row>
    <row r="5" spans="1:3" ht="17.100000000000001" customHeight="1" x14ac:dyDescent="0.25">
      <c r="A5" s="34"/>
      <c r="B5" s="35"/>
    </row>
    <row r="6" spans="1:3" ht="17.100000000000001" customHeight="1" x14ac:dyDescent="0.25">
      <c r="A6" s="58" t="s">
        <v>902</v>
      </c>
      <c r="B6" s="33">
        <f>ROUND('3. rezsióradíj mérnökóradíj'!D4,0)</f>
        <v>4000</v>
      </c>
    </row>
    <row r="7" spans="1:3" ht="17.100000000000001" customHeight="1" x14ac:dyDescent="0.25">
      <c r="A7" s="59" t="s">
        <v>698</v>
      </c>
      <c r="B7" s="138">
        <f>'4. kiszállás díja'!C10</f>
        <v>5000</v>
      </c>
    </row>
    <row r="8" spans="1:3" ht="17.100000000000001" customHeight="1" x14ac:dyDescent="0.25">
      <c r="A8" s="30" t="s">
        <v>110</v>
      </c>
      <c r="B8" s="37">
        <f>SUM(B6:B7)</f>
        <v>9000</v>
      </c>
    </row>
    <row r="9" spans="1:3" ht="17.100000000000001" customHeight="1" x14ac:dyDescent="0.25">
      <c r="A9" s="28" t="s">
        <v>111</v>
      </c>
      <c r="B9" s="138">
        <f>ROUND(B8*0.2,0)</f>
        <v>1800</v>
      </c>
    </row>
    <row r="10" spans="1:3" s="30" customFormat="1" ht="17.100000000000001" customHeight="1" x14ac:dyDescent="0.25">
      <c r="A10" s="30" t="s">
        <v>86</v>
      </c>
      <c r="B10" s="37">
        <f>SUM(B8:B9)</f>
        <v>10800</v>
      </c>
      <c r="C10" s="25"/>
    </row>
    <row r="11" spans="1:3" ht="17.100000000000001" customHeight="1" x14ac:dyDescent="0.25">
      <c r="A11" s="25" t="s">
        <v>106</v>
      </c>
      <c r="B11" s="33">
        <f>ROUND(B10*0.27,0)</f>
        <v>2916</v>
      </c>
    </row>
    <row r="12" spans="1:3" s="39" customFormat="1" ht="29.25" customHeight="1" x14ac:dyDescent="0.25">
      <c r="A12" s="567" t="s">
        <v>107</v>
      </c>
      <c r="B12" s="568">
        <f>SUM(B10:B11)</f>
        <v>13716</v>
      </c>
      <c r="C12" s="25"/>
    </row>
    <row r="13" spans="1:3" ht="17.100000000000001" customHeight="1" x14ac:dyDescent="0.25"/>
    <row r="14" spans="1:3" ht="30.75" customHeight="1" x14ac:dyDescent="0.25">
      <c r="A14" s="625" t="s">
        <v>112</v>
      </c>
      <c r="B14" s="625"/>
    </row>
  </sheetData>
  <mergeCells count="3">
    <mergeCell ref="A1:B1"/>
    <mergeCell ref="A14:B14"/>
    <mergeCell ref="A2:B2"/>
  </mergeCells>
  <printOptions horizontalCentered="1"/>
  <pageMargins left="0.67" right="0.36" top="0.47244094488188981" bottom="0.51181102362204722" header="0.46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showGridLines="0" zoomScaleNormal="100" zoomScaleSheetLayoutView="100" workbookViewId="0">
      <selection activeCell="E23" sqref="E23"/>
    </sheetView>
  </sheetViews>
  <sheetFormatPr defaultColWidth="47" defaultRowHeight="15" x14ac:dyDescent="0.25"/>
  <cols>
    <col min="1" max="1" width="54.28515625" style="42" customWidth="1"/>
    <col min="2" max="3" width="12.85546875" style="43" customWidth="1"/>
    <col min="4" max="6" width="12.85546875" style="42" customWidth="1"/>
    <col min="7" max="7" width="16.42578125" style="42" bestFit="1" customWidth="1"/>
    <col min="8" max="8" width="15.140625" style="42" bestFit="1" customWidth="1"/>
    <col min="9" max="9" width="9.7109375" style="42" customWidth="1"/>
    <col min="10" max="10" width="12.140625" style="42" customWidth="1"/>
    <col min="11" max="11" width="10.5703125" style="42" bestFit="1" customWidth="1"/>
    <col min="12" max="259" width="9.140625" style="42" customWidth="1"/>
    <col min="260" max="16384" width="47" style="42"/>
  </cols>
  <sheetData>
    <row r="1" spans="1:13" ht="32.25" customHeight="1" x14ac:dyDescent="0.25">
      <c r="A1" s="317"/>
      <c r="B1" s="284"/>
      <c r="C1" s="284"/>
      <c r="D1" s="624" t="s">
        <v>427</v>
      </c>
      <c r="E1" s="624"/>
      <c r="F1" s="624"/>
      <c r="G1" s="317"/>
      <c r="I1" s="276"/>
    </row>
    <row r="2" spans="1:13" ht="48" customHeight="1" x14ac:dyDescent="0.25">
      <c r="A2" s="626" t="s">
        <v>541</v>
      </c>
      <c r="B2" s="626"/>
      <c r="C2" s="626"/>
      <c r="D2" s="626"/>
      <c r="E2" s="626"/>
      <c r="F2" s="626"/>
      <c r="G2" s="275"/>
      <c r="H2" s="39"/>
      <c r="I2" s="39"/>
    </row>
    <row r="3" spans="1:13" ht="17.100000000000001" customHeight="1" x14ac:dyDescent="0.25">
      <c r="A3" s="200"/>
    </row>
    <row r="4" spans="1:13" ht="17.100000000000001" customHeight="1" x14ac:dyDescent="0.25">
      <c r="A4" s="200" t="s">
        <v>113</v>
      </c>
    </row>
    <row r="5" spans="1:13" ht="17.100000000000001" customHeight="1" x14ac:dyDescent="0.25">
      <c r="B5" s="43" t="s">
        <v>572</v>
      </c>
      <c r="C5" s="43" t="s">
        <v>571</v>
      </c>
      <c r="D5" s="43" t="s">
        <v>586</v>
      </c>
      <c r="E5" s="43" t="s">
        <v>585</v>
      </c>
      <c r="F5" s="43" t="s">
        <v>617</v>
      </c>
      <c r="G5" s="43"/>
      <c r="H5" s="627" t="s">
        <v>578</v>
      </c>
      <c r="I5" s="289" t="s">
        <v>572</v>
      </c>
      <c r="J5" s="289">
        <v>170</v>
      </c>
      <c r="K5" s="42" t="s">
        <v>654</v>
      </c>
      <c r="L5" s="376"/>
      <c r="M5" s="376"/>
    </row>
    <row r="6" spans="1:13" ht="17.100000000000001" customHeight="1" x14ac:dyDescent="0.25">
      <c r="A6" s="200" t="s">
        <v>620</v>
      </c>
      <c r="B6" s="318">
        <f>J5</f>
        <v>170</v>
      </c>
      <c r="C6" s="139">
        <f>J6</f>
        <v>182</v>
      </c>
      <c r="D6" s="318">
        <f>J7</f>
        <v>204</v>
      </c>
      <c r="E6" s="268">
        <f>J8</f>
        <v>247</v>
      </c>
      <c r="F6" s="268">
        <f>J9</f>
        <v>173</v>
      </c>
      <c r="G6" s="139"/>
      <c r="H6" s="628"/>
      <c r="I6" s="289" t="s">
        <v>571</v>
      </c>
      <c r="J6" s="289">
        <v>182</v>
      </c>
      <c r="L6" s="376"/>
      <c r="M6" s="376"/>
    </row>
    <row r="7" spans="1:13" ht="17.100000000000001" customHeight="1" x14ac:dyDescent="0.25">
      <c r="A7" s="456" t="s">
        <v>699</v>
      </c>
      <c r="B7" s="318">
        <f>ROUND(0.5*'3. rezsióradíj mérnökóradíj'!D4*2,0)</f>
        <v>4000</v>
      </c>
      <c r="C7" s="318">
        <f>B7</f>
        <v>4000</v>
      </c>
      <c r="D7" s="268">
        <f t="shared" ref="D7:F7" si="0">C7</f>
        <v>4000</v>
      </c>
      <c r="E7" s="268">
        <f t="shared" si="0"/>
        <v>4000</v>
      </c>
      <c r="F7" s="268">
        <f t="shared" si="0"/>
        <v>4000</v>
      </c>
      <c r="G7" s="183"/>
      <c r="H7" s="628"/>
      <c r="I7" s="289" t="s">
        <v>586</v>
      </c>
      <c r="J7" s="289">
        <v>204</v>
      </c>
    </row>
    <row r="8" spans="1:13" ht="17.100000000000001" customHeight="1" x14ac:dyDescent="0.25">
      <c r="A8" s="66" t="s">
        <v>700</v>
      </c>
      <c r="B8" s="319">
        <f>'4. kiszállás díja'!C10</f>
        <v>5000</v>
      </c>
      <c r="C8" s="307">
        <f>B8</f>
        <v>5000</v>
      </c>
      <c r="D8" s="183">
        <f t="shared" ref="D8:F8" si="1">C8</f>
        <v>5000</v>
      </c>
      <c r="E8" s="183">
        <f t="shared" si="1"/>
        <v>5000</v>
      </c>
      <c r="F8" s="183">
        <f t="shared" si="1"/>
        <v>5000</v>
      </c>
      <c r="G8" s="182"/>
      <c r="H8" s="629"/>
      <c r="I8" s="289" t="s">
        <v>585</v>
      </c>
      <c r="J8" s="289">
        <v>247</v>
      </c>
    </row>
    <row r="9" spans="1:13" ht="17.100000000000001" customHeight="1" x14ac:dyDescent="0.25">
      <c r="A9" s="45" t="s">
        <v>114</v>
      </c>
      <c r="B9" s="320">
        <f>SUM(B6:B8)</f>
        <v>9170</v>
      </c>
      <c r="C9" s="320">
        <f>C6+C7+C8</f>
        <v>9182</v>
      </c>
      <c r="D9" s="165">
        <f t="shared" ref="D9:F9" si="2">D6+D7+D8</f>
        <v>9204</v>
      </c>
      <c r="E9" s="165">
        <f t="shared" si="2"/>
        <v>9247</v>
      </c>
      <c r="F9" s="165">
        <f t="shared" si="2"/>
        <v>9173</v>
      </c>
      <c r="G9" s="183"/>
      <c r="H9" s="289" t="s">
        <v>616</v>
      </c>
      <c r="I9" s="289" t="s">
        <v>617</v>
      </c>
      <c r="J9" s="289">
        <v>173</v>
      </c>
    </row>
    <row r="10" spans="1:13" ht="17.100000000000001" customHeight="1" x14ac:dyDescent="0.25">
      <c r="A10" s="44" t="s">
        <v>115</v>
      </c>
      <c r="B10" s="366">
        <f>ROUND((B9-B6)*0.2,0)</f>
        <v>1800</v>
      </c>
      <c r="C10" s="319">
        <f>ROUND(C9-C6,)*0.2</f>
        <v>1800</v>
      </c>
      <c r="D10" s="140">
        <f t="shared" ref="D10:F10" si="3">ROUND(D9-D6,)*0.2</f>
        <v>1800</v>
      </c>
      <c r="E10" s="140">
        <f t="shared" si="3"/>
        <v>1800</v>
      </c>
      <c r="F10" s="140">
        <f t="shared" si="3"/>
        <v>1800</v>
      </c>
      <c r="G10" s="46"/>
    </row>
    <row r="11" spans="1:13" ht="17.100000000000001" customHeight="1" x14ac:dyDescent="0.25">
      <c r="A11" s="45" t="s">
        <v>116</v>
      </c>
      <c r="B11" s="321">
        <f>SUM(B9:B10)</f>
        <v>10970</v>
      </c>
      <c r="C11" s="321">
        <f t="shared" ref="C11:F11" si="4">SUM(C9:C10)</f>
        <v>10982</v>
      </c>
      <c r="D11" s="46">
        <f t="shared" si="4"/>
        <v>11004</v>
      </c>
      <c r="E11" s="46">
        <f>SUM(E9:E10)</f>
        <v>11047</v>
      </c>
      <c r="F11" s="46">
        <f t="shared" si="4"/>
        <v>10973</v>
      </c>
      <c r="G11" s="48"/>
    </row>
    <row r="12" spans="1:13" ht="16.5" customHeight="1" x14ac:dyDescent="0.25">
      <c r="A12" s="47" t="s">
        <v>106</v>
      </c>
      <c r="B12" s="322">
        <f>ROUND(B11*0.27,0)</f>
        <v>2962</v>
      </c>
      <c r="C12" s="322">
        <f>ROUND(C11*0.27,0)</f>
        <v>2965</v>
      </c>
      <c r="D12" s="48">
        <f>ROUND(D11*0.27,0)</f>
        <v>2971</v>
      </c>
      <c r="E12" s="48">
        <f>ROUND(E11*0.27,0)</f>
        <v>2983</v>
      </c>
      <c r="F12" s="48">
        <f>ROUND(F11*0.27,0)</f>
        <v>2963</v>
      </c>
      <c r="G12" s="181"/>
    </row>
    <row r="13" spans="1:13" ht="30.75" customHeight="1" x14ac:dyDescent="0.25">
      <c r="A13" s="567" t="s">
        <v>107</v>
      </c>
      <c r="B13" s="569">
        <f>SUM(B11:B12)</f>
        <v>13932</v>
      </c>
      <c r="C13" s="569">
        <f t="shared" ref="C13:F13" si="5">SUM(C11:C12)</f>
        <v>13947</v>
      </c>
      <c r="D13" s="568">
        <f t="shared" si="5"/>
        <v>13975</v>
      </c>
      <c r="E13" s="568">
        <f t="shared" si="5"/>
        <v>14030</v>
      </c>
      <c r="F13" s="568">
        <f t="shared" si="5"/>
        <v>13936</v>
      </c>
    </row>
    <row r="14" spans="1:13" ht="17.100000000000001" customHeight="1" x14ac:dyDescent="0.25"/>
    <row r="15" spans="1:13" ht="17.100000000000001" customHeight="1" x14ac:dyDescent="0.25">
      <c r="A15" s="42" t="s">
        <v>731</v>
      </c>
    </row>
    <row r="16" spans="1:13" ht="17.100000000000001" customHeight="1" x14ac:dyDescent="0.25">
      <c r="A16" s="42" t="s">
        <v>730</v>
      </c>
    </row>
    <row r="17" spans="1:6" ht="17.100000000000001" customHeight="1" x14ac:dyDescent="0.25"/>
    <row r="18" spans="1:6" ht="17.100000000000001" customHeight="1" x14ac:dyDescent="0.25">
      <c r="B18" s="42"/>
      <c r="C18" s="42"/>
    </row>
    <row r="19" spans="1:6" ht="17.100000000000001" customHeight="1" x14ac:dyDescent="0.25">
      <c r="B19" s="42"/>
      <c r="C19" s="42"/>
    </row>
    <row r="20" spans="1:6" ht="17.100000000000001" customHeight="1" x14ac:dyDescent="0.25">
      <c r="B20" s="42"/>
      <c r="C20" s="42"/>
    </row>
    <row r="21" spans="1:6" ht="17.100000000000001" customHeight="1" x14ac:dyDescent="0.25">
      <c r="B21" s="42"/>
      <c r="C21" s="42"/>
    </row>
    <row r="22" spans="1:6" ht="17.100000000000001" customHeight="1" x14ac:dyDescent="0.25">
      <c r="B22" s="42"/>
      <c r="C22" s="42"/>
    </row>
    <row r="23" spans="1:6" ht="17.100000000000001" customHeight="1" x14ac:dyDescent="0.25"/>
    <row r="24" spans="1:6" ht="17.100000000000001" customHeight="1" x14ac:dyDescent="0.25"/>
    <row r="25" spans="1:6" ht="17.100000000000001" customHeight="1" x14ac:dyDescent="0.25"/>
    <row r="26" spans="1:6" ht="17.100000000000001" customHeight="1" x14ac:dyDescent="0.25"/>
    <row r="27" spans="1:6" ht="17.100000000000001" customHeight="1" x14ac:dyDescent="0.25">
      <c r="A27" s="56"/>
      <c r="B27" s="253"/>
      <c r="C27" s="253"/>
      <c r="D27" s="56"/>
      <c r="E27" s="56"/>
      <c r="F27" s="56"/>
    </row>
    <row r="28" spans="1:6" ht="17.100000000000001" customHeight="1" x14ac:dyDescent="0.25"/>
    <row r="29" spans="1:6" ht="17.100000000000001" customHeight="1" x14ac:dyDescent="0.25">
      <c r="A29" s="39"/>
    </row>
    <row r="30" spans="1:6" ht="17.100000000000001" customHeight="1" x14ac:dyDescent="0.25"/>
    <row r="31" spans="1:6" ht="17.100000000000001" customHeight="1" x14ac:dyDescent="0.25">
      <c r="A31" s="269"/>
    </row>
    <row r="32" spans="1:6" ht="17.100000000000001" customHeight="1" x14ac:dyDescent="0.25"/>
    <row r="33" spans="1:6" ht="17.100000000000001" customHeight="1" x14ac:dyDescent="0.25"/>
    <row r="34" spans="1:6" ht="17.100000000000001" customHeight="1" x14ac:dyDescent="0.25"/>
    <row r="35" spans="1:6" ht="17.100000000000001" customHeight="1" x14ac:dyDescent="0.25">
      <c r="A35" s="270"/>
    </row>
    <row r="36" spans="1:6" ht="17.100000000000001" customHeight="1" x14ac:dyDescent="0.25"/>
    <row r="37" spans="1:6" ht="17.100000000000001" customHeight="1" x14ac:dyDescent="0.25"/>
    <row r="38" spans="1:6" ht="17.100000000000001" customHeight="1" x14ac:dyDescent="0.25">
      <c r="A38" s="222"/>
      <c r="B38" s="359"/>
      <c r="C38" s="359"/>
      <c r="D38" s="360"/>
      <c r="E38" s="360"/>
      <c r="F38" s="360"/>
    </row>
    <row r="39" spans="1:6" ht="17.100000000000001" customHeight="1" x14ac:dyDescent="0.25"/>
    <row r="40" spans="1:6" ht="17.100000000000001" customHeight="1" x14ac:dyDescent="0.25">
      <c r="A40" s="222"/>
    </row>
    <row r="41" spans="1:6" ht="17.100000000000001" customHeight="1" x14ac:dyDescent="0.25"/>
    <row r="42" spans="1:6" ht="17.100000000000001" customHeight="1" x14ac:dyDescent="0.25">
      <c r="A42" s="39"/>
    </row>
    <row r="43" spans="1:6" ht="17.100000000000001" customHeight="1" x14ac:dyDescent="0.25"/>
    <row r="44" spans="1:6" ht="17.100000000000001" customHeight="1" x14ac:dyDescent="0.25"/>
    <row r="45" spans="1:6" ht="17.100000000000001" customHeight="1" x14ac:dyDescent="0.25">
      <c r="A45" s="39"/>
    </row>
    <row r="46" spans="1:6" ht="17.100000000000001" customHeight="1" x14ac:dyDescent="0.25"/>
    <row r="47" spans="1:6" ht="17.100000000000001" customHeight="1" x14ac:dyDescent="0.25">
      <c r="A47" s="269"/>
    </row>
    <row r="48" spans="1:6" ht="17.100000000000001" customHeight="1" x14ac:dyDescent="0.25"/>
    <row r="49" spans="1:4" ht="17.100000000000001" customHeight="1" x14ac:dyDescent="0.25"/>
    <row r="50" spans="1:4" ht="17.100000000000001" customHeight="1" x14ac:dyDescent="0.25"/>
    <row r="51" spans="1:4" ht="17.100000000000001" customHeight="1" x14ac:dyDescent="0.25">
      <c r="A51" s="270"/>
      <c r="B51" s="359"/>
      <c r="C51" s="359"/>
      <c r="D51" s="360"/>
    </row>
    <row r="52" spans="1:4" ht="17.100000000000001" customHeight="1" x14ac:dyDescent="0.25"/>
    <row r="53" spans="1:4" ht="17.100000000000001" customHeight="1" x14ac:dyDescent="0.25"/>
    <row r="54" spans="1:4" ht="17.100000000000001" customHeight="1" x14ac:dyDescent="0.25">
      <c r="A54" s="222"/>
    </row>
    <row r="55" spans="1:4" ht="17.100000000000001" customHeight="1" x14ac:dyDescent="0.25"/>
    <row r="56" spans="1:4" ht="17.100000000000001" customHeight="1" x14ac:dyDescent="0.25">
      <c r="A56" s="222"/>
    </row>
    <row r="57" spans="1:4" ht="17.100000000000001" customHeight="1" x14ac:dyDescent="0.25"/>
    <row r="58" spans="1:4" ht="17.100000000000001" customHeight="1" x14ac:dyDescent="0.25">
      <c r="A58" s="39"/>
    </row>
    <row r="59" spans="1:4" ht="17.100000000000001" customHeight="1" x14ac:dyDescent="0.25"/>
    <row r="60" spans="1:4" ht="17.100000000000001" customHeight="1" x14ac:dyDescent="0.25"/>
    <row r="61" spans="1:4" ht="17.100000000000001" customHeight="1" x14ac:dyDescent="0.25">
      <c r="A61" s="39"/>
    </row>
    <row r="62" spans="1:4" ht="17.100000000000001" customHeight="1" x14ac:dyDescent="0.25"/>
    <row r="63" spans="1:4" ht="17.100000000000001" hidden="1" customHeight="1" x14ac:dyDescent="0.25">
      <c r="A63" s="269"/>
    </row>
    <row r="64" spans="1:4" ht="17.100000000000001" hidden="1" customHeight="1" x14ac:dyDescent="0.25"/>
    <row r="65" spans="1:1" ht="17.100000000000001" hidden="1" customHeight="1" x14ac:dyDescent="0.25"/>
    <row r="66" spans="1:1" ht="17.100000000000001" hidden="1" customHeight="1" x14ac:dyDescent="0.25"/>
    <row r="67" spans="1:1" ht="17.100000000000001" hidden="1" customHeight="1" x14ac:dyDescent="0.25">
      <c r="A67" s="270"/>
    </row>
    <row r="68" spans="1:1" ht="17.100000000000001" hidden="1" customHeight="1" x14ac:dyDescent="0.25"/>
    <row r="69" spans="1:1" ht="17.100000000000001" hidden="1" customHeight="1" x14ac:dyDescent="0.25"/>
    <row r="70" spans="1:1" ht="17.100000000000001" hidden="1" customHeight="1" x14ac:dyDescent="0.25">
      <c r="A70" s="222"/>
    </row>
    <row r="71" spans="1:1" ht="17.100000000000001" hidden="1" customHeight="1" x14ac:dyDescent="0.25"/>
    <row r="72" spans="1:1" ht="17.100000000000001" hidden="1" customHeight="1" x14ac:dyDescent="0.25">
      <c r="A72" s="222"/>
    </row>
    <row r="73" spans="1:1" ht="17.100000000000001" hidden="1" customHeight="1" x14ac:dyDescent="0.25"/>
    <row r="74" spans="1:1" ht="17.100000000000001" hidden="1" customHeight="1" x14ac:dyDescent="0.25">
      <c r="A74" s="39"/>
    </row>
    <row r="75" spans="1:1" ht="17.100000000000001" hidden="1" customHeight="1" x14ac:dyDescent="0.25"/>
    <row r="76" spans="1:1" ht="17.100000000000001" hidden="1" customHeight="1" x14ac:dyDescent="0.25"/>
    <row r="77" spans="1:1" ht="17.100000000000001" hidden="1" customHeight="1" x14ac:dyDescent="0.25">
      <c r="A77" s="39"/>
    </row>
    <row r="78" spans="1:1" ht="17.100000000000001" hidden="1" customHeight="1" x14ac:dyDescent="0.25"/>
    <row r="79" spans="1:1" ht="17.100000000000001" customHeight="1" x14ac:dyDescent="0.25">
      <c r="A79" s="269"/>
    </row>
    <row r="80" spans="1:1" ht="17.100000000000001" customHeight="1" x14ac:dyDescent="0.25"/>
    <row r="81" spans="1:1" ht="17.100000000000001" customHeight="1" x14ac:dyDescent="0.25"/>
    <row r="82" spans="1:1" ht="17.100000000000001" customHeight="1" x14ac:dyDescent="0.25"/>
    <row r="83" spans="1:1" ht="17.100000000000001" customHeight="1" x14ac:dyDescent="0.25">
      <c r="A83" s="270"/>
    </row>
    <row r="84" spans="1:1" ht="17.100000000000001" customHeight="1" x14ac:dyDescent="0.25"/>
    <row r="85" spans="1:1" ht="17.100000000000001" customHeight="1" x14ac:dyDescent="0.25"/>
    <row r="86" spans="1:1" ht="17.100000000000001" customHeight="1" x14ac:dyDescent="0.25">
      <c r="A86" s="222"/>
    </row>
    <row r="87" spans="1:1" ht="17.100000000000001" customHeight="1" x14ac:dyDescent="0.25"/>
    <row r="88" spans="1:1" ht="17.100000000000001" customHeight="1" x14ac:dyDescent="0.25">
      <c r="A88" s="222"/>
    </row>
    <row r="89" spans="1:1" ht="17.100000000000001" customHeight="1" x14ac:dyDescent="0.25"/>
    <row r="90" spans="1:1" ht="17.100000000000001" customHeight="1" x14ac:dyDescent="0.25">
      <c r="A90" s="39"/>
    </row>
    <row r="91" spans="1:1" ht="17.100000000000001" customHeight="1" x14ac:dyDescent="0.25"/>
    <row r="92" spans="1:1" ht="17.100000000000001" customHeight="1" x14ac:dyDescent="0.25"/>
    <row r="93" spans="1:1" ht="17.100000000000001" customHeight="1" x14ac:dyDescent="0.25">
      <c r="A93" s="39"/>
    </row>
    <row r="94" spans="1:1" ht="17.100000000000001" customHeight="1" x14ac:dyDescent="0.25"/>
    <row r="95" spans="1:1" ht="17.100000000000001" customHeight="1" x14ac:dyDescent="0.25">
      <c r="A95" s="269"/>
    </row>
    <row r="96" spans="1:1" ht="17.100000000000001" customHeight="1" x14ac:dyDescent="0.25"/>
    <row r="97" spans="1:1" ht="17.100000000000001" customHeight="1" x14ac:dyDescent="0.25"/>
    <row r="98" spans="1:1" ht="17.100000000000001" customHeight="1" x14ac:dyDescent="0.25"/>
    <row r="99" spans="1:1" ht="17.100000000000001" customHeight="1" x14ac:dyDescent="0.25">
      <c r="A99" s="270"/>
    </row>
    <row r="100" spans="1:1" ht="17.100000000000001" customHeight="1" x14ac:dyDescent="0.25"/>
    <row r="101" spans="1:1" ht="17.100000000000001" customHeight="1" x14ac:dyDescent="0.25"/>
    <row r="102" spans="1:1" ht="17.100000000000001" customHeight="1" x14ac:dyDescent="0.25">
      <c r="A102" s="222"/>
    </row>
    <row r="103" spans="1:1" ht="17.100000000000001" customHeight="1" x14ac:dyDescent="0.25"/>
    <row r="104" spans="1:1" ht="17.100000000000001" customHeight="1" x14ac:dyDescent="0.25">
      <c r="A104" s="222"/>
    </row>
    <row r="105" spans="1:1" ht="17.100000000000001" customHeight="1" x14ac:dyDescent="0.25"/>
    <row r="106" spans="1:1" ht="17.100000000000001" customHeight="1" x14ac:dyDescent="0.25">
      <c r="A106" s="39"/>
    </row>
    <row r="107" spans="1:1" ht="17.100000000000001" customHeight="1" x14ac:dyDescent="0.25"/>
    <row r="108" spans="1:1" ht="17.100000000000001" customHeight="1" x14ac:dyDescent="0.25"/>
    <row r="109" spans="1:1" ht="17.100000000000001" customHeight="1" x14ac:dyDescent="0.25">
      <c r="A109" s="39"/>
    </row>
    <row r="110" spans="1:1" ht="17.100000000000001" customHeight="1" x14ac:dyDescent="0.25"/>
    <row r="111" spans="1:1" ht="17.100000000000001" customHeight="1" x14ac:dyDescent="0.25"/>
  </sheetData>
  <mergeCells count="3">
    <mergeCell ref="H5:H8"/>
    <mergeCell ref="D1:F1"/>
    <mergeCell ref="A2:F2"/>
  </mergeCells>
  <printOptions horizontalCentered="1"/>
  <pageMargins left="0.59055118110236227" right="0.74803149606299213" top="0.56000000000000005" bottom="0.47244094488188981" header="0.51181102362204722" footer="0.47244094488188981"/>
  <pageSetup paperSize="9" orientation="landscape" r:id="rId1"/>
  <headerFooter alignWithMargins="0"/>
  <rowBreaks count="2" manualBreakCount="2">
    <brk id="30" max="16383" man="1"/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72DAE7BF328914AA2D2EFEA12C20521" ma:contentTypeVersion="18" ma:contentTypeDescription="Új dokumentum létrehozása." ma:contentTypeScope="" ma:versionID="9c75a02834f4d5710b63d76ad92a1235">
  <xsd:schema xmlns:xsd="http://www.w3.org/2001/XMLSchema" xmlns:xs="http://www.w3.org/2001/XMLSchema" xmlns:p="http://schemas.microsoft.com/office/2006/metadata/properties" xmlns:ns1="http://schemas.microsoft.com/sharepoint/v3" xmlns:ns3="$ListId:Publikaciok;" xmlns:ns4="83c5f83c-38ea-4453-856a-92dc2bf116e0" xmlns:ns5="3e1e5e41-d30c-4c1a-97a6-217494d26228" xmlns:ns6="5fb986e4-8cd1-42bd-af7b-2791eca77886" targetNamespace="http://schemas.microsoft.com/office/2006/metadata/properties" ma:root="true" ma:fieldsID="683e6ce5dd10b3fa324d4a90a3ebd8a4" ns1:_="" ns3:_="" ns4:_="" ns5:_="" ns6:_="">
    <xsd:import namespace="http://schemas.microsoft.com/sharepoint/v3"/>
    <xsd:import namespace="$ListId:Publikaciok;"/>
    <xsd:import namespace="83c5f83c-38ea-4453-856a-92dc2bf116e0"/>
    <xsd:import namespace="3e1e5e41-d30c-4c1a-97a6-217494d26228"/>
    <xsd:import namespace="5fb986e4-8cd1-42bd-af7b-2791eca77886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3:C_x00e9_lk_x00f6_z_x00f6_ns_x00e9_gek" minOccurs="0"/>
                <xsd:element ref="ns4:T_x00e9_mak_x00f6_rTaxHTField0" minOccurs="0"/>
                <xsd:element ref="ns5:TaxCatchAll" minOccurs="0"/>
                <xsd:element ref="ns4:Kateg_x00f3_ria" minOccurs="0"/>
                <xsd:element ref="ns4:Szervezet" minOccurs="0"/>
                <xsd:element ref="ns4:Kiad_x00e1_s_x0020_sz_x00e1_ma" minOccurs="0"/>
                <xsd:element ref="ns4:Kiad_x00e1_s_x0020_d_x00e1_tum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Minősítés (0–5)" ma:decimals="2" ma:description="Az összes küldött minősítés átlagos értéke" ma:internalName="AverageRating" ma:readOnly="true">
      <xsd:simpleType>
        <xsd:restriction base="dms:Number"/>
      </xsd:simpleType>
    </xsd:element>
    <xsd:element name="RatingCount" ma:index="9" nillable="true" ma:displayName="Minősítések száma" ma:decimals="0" ma:description="Küldött minősítések száma" ma:internalName="RatingCount" ma:readOnly="true">
      <xsd:simpleType>
        <xsd:restriction base="dms:Number"/>
      </xsd:simpleType>
    </xsd:element>
    <xsd:element name="RatedBy" ma:index="20" nillable="true" ma:displayName="Minősítők" ma:description="Az elemet minősítő felhasználók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1" nillable="true" ma:displayName="Felhasználói minősítések" ma:description="Az elem felhasználói minősítései" ma:hidden="true" ma:internalName="Ratings">
      <xsd:simpleType>
        <xsd:restriction base="dms:Note"/>
      </xsd:simpleType>
    </xsd:element>
    <xsd:element name="LikesCount" ma:index="22" nillable="true" ma:displayName="Tetszésnyilvánítások száma" ma:internalName="LikesCount">
      <xsd:simpleType>
        <xsd:restriction base="dms:Unknown"/>
      </xsd:simpleType>
    </xsd:element>
    <xsd:element name="LikedBy" ma:index="23" nillable="true" ma:displayName="Felhasználók, akiknek tetszet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Publikaciok;" elementFormDefault="qualified">
    <xsd:import namespace="http://schemas.microsoft.com/office/2006/documentManagement/types"/>
    <xsd:import namespace="http://schemas.microsoft.com/office/infopath/2007/PartnerControls"/>
    <xsd:element name="C_x00e9_lk_x00f6_z_x00f6_ns_x00e9_gek" ma:index="12" nillable="true" ma:displayName="Célközönségek" ma:internalName="C_x00e9_lk_x00f6_z_x00f6_ns_x00e9_gek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f83c-38ea-4453-856a-92dc2bf116e0" elementFormDefault="qualified">
    <xsd:import namespace="http://schemas.microsoft.com/office/2006/documentManagement/types"/>
    <xsd:import namespace="http://schemas.microsoft.com/office/infopath/2007/PartnerControls"/>
    <xsd:element name="T_x00e9_mak_x00f6_rTaxHTField0" ma:index="14" ma:taxonomy="true" ma:internalName="T_x00e9_mak_x00f6_rTaxHTField0" ma:taxonomyFieldName="T_x00e9_mak_x00f6_r" ma:displayName="Témakör" ma:indexed="true" ma:readOnly="false" ma:default="" ma:fieldId="{c103721d-59d6-45c5-a159-9d5c95b09d52}" ma:sspId="4a1c6e2d-a246-4d95-9ca8-46034eb26f54" ma:termSetId="c8a3ce37-14cb-4992-9cf7-157931f078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teg_x00f3_ria" ma:index="16" nillable="true" ma:displayName="Kategória" ma:description="A dokumentum kategóriája" ma:list="{7f971738-1c5b-4fba-82b5-e4cb60e18406}" ma:internalName="Kateg_x00f3_ria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zervezet" ma:index="17" nillable="true" ma:displayName="Szervezet" ma:description="Felelős szervezet." ma:list="{f991c40c-fa7b-42d7-bdbf-b183237a6b54}" ma:internalName="Szervezet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iad_x00e1_s_x0020_sz_x00e1_ma" ma:index="18" nillable="true" ma:displayName="Kiadás száma" ma:decimals="0" ma:description="A kiadás sorszáma." ma:internalName="Kiad_x00e1_s_x0020_sz_x00e1_ma">
      <xsd:simpleType>
        <xsd:restriction base="dms:Number"/>
      </xsd:simpleType>
    </xsd:element>
    <xsd:element name="Kiad_x00e1_s_x0020_d_x00e1_tum" ma:index="19" nillable="true" ma:displayName="Kiadás dátum" ma:description="A kiadás időpontja." ma:format="DateOnly" ma:internalName="Kiad_x00e1_s_x0020_d_x00e1_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e5e41-d30c-4c1a-97a6-217494d2622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da23e63-55fd-4cc1-88fb-6d6541f434cd}" ma:internalName="TaxCatchAll" ma:showField="CatchAllData" ma:web="3e1e5e41-d30c-4c1a-97a6-217494d262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986e4-8cd1-42bd-af7b-2791eca77886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 ma:index="11" ma:displayName="Tárgy"/>
        <xsd:element ref="dc:description" minOccurs="0" maxOccurs="1"/>
        <xsd:element name="keywords" minOccurs="0" maxOccurs="1" type="xsd:string" ma:index="10" ma:displayName="Kulcsszavak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1e5e41-d30c-4c1a-97a6-217494d26228">
      <Value>9</Value>
    </TaxCatchAll>
    <C_x00e9_lk_x00f6_z_x00f6_ns_x00e9_gek xmlns="$ListId:Publikaciok;" xsi:nil="true"/>
    <T_x00e9_mak_x00f6_rTaxHTField0 xmlns="83c5f83c-38ea-4453-856a-92dc2bf116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Szakmai szabályzat</TermName>
          <TermId xmlns="http://schemas.microsoft.com/office/infopath/2007/PartnerControls">e223ec21-57d8-4100-9d08-ae73d8f8e73e</TermId>
        </TermInfo>
      </Terms>
    </T_x00e9_mak_x00f6_rTaxHTField0>
    <Szervezet xmlns="83c5f83c-38ea-4453-856a-92dc2bf116e0">
      <Value>40</Value>
    </Szervezet>
    <Kateg_x00f3_ria xmlns="83c5f83c-38ea-4453-856a-92dc2bf116e0"/>
    <AverageRating xmlns="http://schemas.microsoft.com/sharepoint/v3" xsi:nil="true"/>
    <LikesCount xmlns="http://schemas.microsoft.com/sharepoint/v3" xsi:nil="true"/>
    <Ratings xmlns="http://schemas.microsoft.com/sharepoint/v3" xsi:nil="true"/>
    <Kiad_x00e1_s_x0020_sz_x00e1_ma xmlns="83c5f83c-38ea-4453-856a-92dc2bf116e0" xsi:nil="true"/>
    <LikedBy xmlns="http://schemas.microsoft.com/sharepoint/v3">
      <UserInfo>
        <DisplayName/>
        <AccountId xsi:nil="true"/>
        <AccountType/>
      </UserInfo>
    </LikedBy>
    <Kiad_x00e1_s_x0020_d_x00e1_tum xmlns="83c5f83c-38ea-4453-856a-92dc2bf116e0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65D96-3812-4367-824E-9AAF9F50F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$ListId:Publikaciok;"/>
    <ds:schemaRef ds:uri="83c5f83c-38ea-4453-856a-92dc2bf116e0"/>
    <ds:schemaRef ds:uri="3e1e5e41-d30c-4c1a-97a6-217494d26228"/>
    <ds:schemaRef ds:uri="5fb986e4-8cd1-42bd-af7b-2791eca77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4D6A54-235B-4521-A972-D6904F05C042}">
  <ds:schemaRefs>
    <ds:schemaRef ds:uri="http://purl.org/dc/dcmitype/"/>
    <ds:schemaRef ds:uri="http://schemas.microsoft.com/office/infopath/2007/PartnerControls"/>
    <ds:schemaRef ds:uri="3e1e5e41-d30c-4c1a-97a6-217494d26228"/>
    <ds:schemaRef ds:uri="http://schemas.microsoft.com/office/2006/documentManagement/types"/>
    <ds:schemaRef ds:uri="http://purl.org/dc/elements/1.1/"/>
    <ds:schemaRef ds:uri="http://schemas.microsoft.com/office/2006/metadata/properties"/>
    <ds:schemaRef ds:uri="83c5f83c-38ea-4453-856a-92dc2bf116e0"/>
    <ds:schemaRef ds:uri="http://schemas.microsoft.com/sharepoint/v3"/>
    <ds:schemaRef ds:uri="http://purl.org/dc/terms/"/>
    <ds:schemaRef ds:uri="$ListId:Publikaciok;"/>
    <ds:schemaRef ds:uri="http://schemas.openxmlformats.org/package/2006/metadata/core-properties"/>
    <ds:schemaRef ds:uri="5fb986e4-8cd1-42bd-af7b-2791eca7788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4A54FD-9822-4670-9F7E-54716D7966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11</vt:i4>
      </vt:variant>
    </vt:vector>
  </HeadingPairs>
  <TitlesOfParts>
    <vt:vector size="53" baseType="lpstr">
      <vt:lpstr>mellékletek-2020</vt:lpstr>
      <vt:lpstr>1. jogszabályok</vt:lpstr>
      <vt:lpstr>2. ivóvíz- és csatornadíjak</vt:lpstr>
      <vt:lpstr>2.1. önkormányzati díjak</vt:lpstr>
      <vt:lpstr>3. rezsióradíj mérnökóradíj</vt:lpstr>
      <vt:lpstr>3-1. műveleti idők</vt:lpstr>
      <vt:lpstr>4. kiszállás díja</vt:lpstr>
      <vt:lpstr>5. ellenőrző olvasás</vt:lpstr>
      <vt:lpstr>6. plombálás </vt:lpstr>
      <vt:lpstr>6-1. újraplombálás</vt:lpstr>
      <vt:lpstr>7. mellékmérők beszerelése</vt:lpstr>
      <vt:lpstr>8. soros mellékmérő többlakásos</vt:lpstr>
      <vt:lpstr>8.1. soros mellékmérő családi</vt:lpstr>
      <vt:lpstr>9. nem soros mellékmérő</vt:lpstr>
      <vt:lpstr>10. mérőbeépítés</vt:lpstr>
      <vt:lpstr>11. vízbekötések</vt:lpstr>
      <vt:lpstr>Munka1</vt:lpstr>
      <vt:lpstr>12. vízbekötés megszüntetés</vt:lpstr>
      <vt:lpstr>13. elfagyott vízmérő</vt:lpstr>
      <vt:lpstr>13.1 kivetett kötbér</vt:lpstr>
      <vt:lpstr>14. vízszolg. szüneteltetés</vt:lpstr>
      <vt:lpstr>14.1 szennyvízszolg szüneteltet</vt:lpstr>
      <vt:lpstr>15. ellenőrzés</vt:lpstr>
      <vt:lpstr>16. csatornatisztítás</vt:lpstr>
      <vt:lpstr>17. szv. és foly. hull. fogadás</vt:lpstr>
      <vt:lpstr>17-1. Egyéb hulladék fogadás</vt:lpstr>
      <vt:lpstr>18. szennyvíziszap fogadás</vt:lpstr>
      <vt:lpstr>19. laborvizsgálat</vt:lpstr>
      <vt:lpstr>20. Bérleti díjak</vt:lpstr>
      <vt:lpstr>21. üdülők</vt:lpstr>
      <vt:lpstr>22. munkaruha</vt:lpstr>
      <vt:lpstr>23. szakfelügyelet díja</vt:lpstr>
      <vt:lpstr>24. csatornabekötés</vt:lpstr>
      <vt:lpstr>25. adatszolgáltatás</vt:lpstr>
      <vt:lpstr>26. egyéb nyilatkozat</vt:lpstr>
      <vt:lpstr>27. közműfejlesztés</vt:lpstr>
      <vt:lpstr>28. tervtár</vt:lpstr>
      <vt:lpstr>29. sokszorosítás</vt:lpstr>
      <vt:lpstr>30. szivattyú javítás</vt:lpstr>
      <vt:lpstr>31. kártalanítás</vt:lpstr>
      <vt:lpstr>32. geodéziai bemérés</vt:lpstr>
      <vt:lpstr>33. Kártérítési díj</vt:lpstr>
      <vt:lpstr>'19. laborvizsgálat'!Nyomtatási_cím</vt:lpstr>
      <vt:lpstr>'13. elfagyott vízmérő'!Nyomtatási_terület</vt:lpstr>
      <vt:lpstr>'14. vízszolg. szüneteltetés'!Nyomtatási_terület</vt:lpstr>
      <vt:lpstr>'15. ellenőrzés'!Nyomtatási_terület</vt:lpstr>
      <vt:lpstr>'2. ivóvíz- és csatornadíjak'!Nyomtatási_terület</vt:lpstr>
      <vt:lpstr>'6. plombálás '!Nyomtatási_terület</vt:lpstr>
      <vt:lpstr>'7. mellékmérők beszerelése'!Nyomtatási_terület</vt:lpstr>
      <vt:lpstr>'8. soros mellékmérő többlakásos'!Nyomtatási_terület</vt:lpstr>
      <vt:lpstr>'8.1. soros mellékmérő családi'!Nyomtatási_terület</vt:lpstr>
      <vt:lpstr>'9. nem soros mellékmérő'!Nyomtatási_terület</vt:lpstr>
      <vt:lpstr>'mellékletek-2020'!Nyomtatási_terület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SZ12 Társasági Árszabályzat 2020 mellékletek 2023. évi módosított</dc:title>
  <dc:subject>Szakmai szabályzat</dc:subject>
  <dc:creator>Antalicz Edina</dc:creator>
  <cp:keywords/>
  <cp:lastModifiedBy>Ludányi Attila</cp:lastModifiedBy>
  <cp:lastPrinted>2023-01-05T10:01:12Z</cp:lastPrinted>
  <dcterms:created xsi:type="dcterms:W3CDTF">2012-02-01T12:42:10Z</dcterms:created>
  <dcterms:modified xsi:type="dcterms:W3CDTF">2023-02-17T14:06:54Z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0x010100772DAE7BF328914AA2D2EFEA12C20521</vt:lpwstr>
  </property>
  <property fmtid="{D5CDD505-2E9C-101B-9397-08002B2CF9AE}" pid="3" name="Témakör">
    <vt:lpwstr>9;#Szakmai szabályzat|e223ec21-57d8-4100-9d08-ae73d8f8e73e</vt:lpwstr>
  </property>
</Properties>
</file>